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0"/>
  </bookViews>
  <sheets>
    <sheet name="Planilha de quantitativos" sheetId="1" r:id="rId1"/>
    <sheet name="Memória de cálculo" sheetId="2" r:id="rId2"/>
    <sheet name="CRONOGRAMA" sheetId="3" r:id="rId3"/>
    <sheet name="BDI" sheetId="4" r:id="rId4"/>
  </sheets>
  <definedNames>
    <definedName name="_xlnm.Print_Area" localSheetId="2">'CRONOGRAMA'!$A$1:$G$34</definedName>
    <definedName name="_xlnm.Print_Area" localSheetId="1">'Memória de cálculo'!$A$1:$E$45</definedName>
    <definedName name="_xlnm.Print_Area" localSheetId="0">'Planilha de quantitativos'!$A$1:$H$75</definedName>
    <definedName name="_xlnm.Print_Titles" localSheetId="0">'Planilha de quantitativos'!$1:$14</definedName>
  </definedNames>
  <calcPr fullCalcOnLoad="1"/>
</workbook>
</file>

<file path=xl/sharedStrings.xml><?xml version="1.0" encoding="utf-8"?>
<sst xmlns="http://schemas.openxmlformats.org/spreadsheetml/2006/main" count="325" uniqueCount="183">
  <si>
    <t>ITEM</t>
  </si>
  <si>
    <t>DESCRIÇÃO</t>
  </si>
  <si>
    <t>UNIDADE</t>
  </si>
  <si>
    <t>TOTAL</t>
  </si>
  <si>
    <t>PLANILHA ORÇAMENTÁRIA DE CUSTOS</t>
  </si>
  <si>
    <t>A N E X O   I I</t>
  </si>
  <si>
    <t>m²</t>
  </si>
  <si>
    <t>m³</t>
  </si>
  <si>
    <t>Locação da obra</t>
  </si>
  <si>
    <t>Alvenaria e divisões</t>
  </si>
  <si>
    <t>Revestimentos</t>
  </si>
  <si>
    <t>Pisos</t>
  </si>
  <si>
    <t>Pintura</t>
  </si>
  <si>
    <t>Terraplanagem/ Trabalhos em terra</t>
  </si>
  <si>
    <t>Limpeza Geral</t>
  </si>
  <si>
    <t>Alambrado</t>
  </si>
  <si>
    <t>Equipamentos esportivos</t>
  </si>
  <si>
    <t>un.</t>
  </si>
  <si>
    <t>cj</t>
  </si>
  <si>
    <t>CÓDIGO</t>
  </si>
  <si>
    <t>Serviços preliminares</t>
  </si>
  <si>
    <t>PRE-LIM-005</t>
  </si>
  <si>
    <t xml:space="preserve">LIMPEZA DO TERRENO, CAPINA E QUEIMA                          </t>
  </si>
  <si>
    <t>IIO-PLA-005</t>
  </si>
  <si>
    <t xml:space="preserve">FORNECIMENTO E COLOCAÇÃO DE PLACA DE OBRA EM CHAPA GALVANIZADA (3,00 X 1,50 M) - GOVERNO DO ESTADO       </t>
  </si>
  <si>
    <t>uni.</t>
  </si>
  <si>
    <t>LOC-OBR-005</t>
  </si>
  <si>
    <t>LOCAÇÃO DA OBRA (GABARITO)</t>
  </si>
  <si>
    <t>FUN-LAS-010</t>
  </si>
  <si>
    <t xml:space="preserve">LASTRO DE BRITA 2 OU 3 APILOADO MANUALMENTE                   </t>
  </si>
  <si>
    <t>PIS-LAJ-025</t>
  </si>
  <si>
    <t xml:space="preserve">LAJE DE TRANSIÇÃO E= 8CM, FCK=18MPA USINADO(MECANIZADO), INCLUSIVE TELA 0,97 KG/M2 E ACABAMENTO NIVEL ZERO                    </t>
  </si>
  <si>
    <t>PIN-ACR-035</t>
  </si>
  <si>
    <t xml:space="preserve">PINTURA ACRÍLICA DE PISO DE QUADRAS ESPORTIVA </t>
  </si>
  <si>
    <t>PIN-ACR-030</t>
  </si>
  <si>
    <t xml:space="preserve">PINTURA ACRÍLICA PARA DEMARCAÇÃO DE QUADRA ESPORTIVA             </t>
  </si>
  <si>
    <t>EQP-ESP-005</t>
  </si>
  <si>
    <t xml:space="preserve">TRAVES DE GOL EM TUBO GALVANIZADO P/ QUADRA </t>
  </si>
  <si>
    <t>EQP-ESP-020</t>
  </si>
  <si>
    <t xml:space="preserve">REDE DE VÔLEI C/ MASTRO EM TUBO GALVANIZADO S/ PEDESTAL      </t>
  </si>
  <si>
    <t>EQP-ESP-030</t>
  </si>
  <si>
    <t xml:space="preserve">TABELA DE BASQUETE EM POSTE METÁLICO E SUPORTE DE PISO       </t>
  </si>
  <si>
    <t>LIM-GER-005</t>
  </si>
  <si>
    <t xml:space="preserve">LIMPEZA GERAL DE OBRA </t>
  </si>
  <si>
    <t>TER-ESC-035</t>
  </si>
  <si>
    <t xml:space="preserve">ESCAVAÇÃO MANUAL DE VALAS H &lt;= 1,5M                                                    </t>
  </si>
  <si>
    <t>ALV-EST-025</t>
  </si>
  <si>
    <t xml:space="preserve">ALVENARIA DE BLOCO DE CONCRETO CHEIO, CONCRETO 15 MPA SEM ARMAÇÃO ESP=0.15M           </t>
  </si>
  <si>
    <t>ALV-EST-010</t>
  </si>
  <si>
    <t xml:space="preserve">ALVENARIA DE BLOCO DE CONCRETO CHEIO, CONCRETO 15 MPA E ARMAÇÃO ESP=0.15M           </t>
  </si>
  <si>
    <t>ALV-TIJ-030</t>
  </si>
  <si>
    <t xml:space="preserve">ALVENARIA DE TIJOLO CERÂMICO FURADO E= 15 CM, A REVESTIR                                         </t>
  </si>
  <si>
    <t>REV-CHA-005</t>
  </si>
  <si>
    <t xml:space="preserve">CHAPISCO COM ARGAMASSA 1:3 CIM AREIA, A COLHER               </t>
  </si>
  <si>
    <t>REV-REB-005</t>
  </si>
  <si>
    <t xml:space="preserve">REBOCO C/ ARGAMASSA 1:7 CIM./AREIA                                              </t>
  </si>
  <si>
    <t>SER-ALA-010</t>
  </si>
  <si>
    <t>ALAMBRADO PARA QUADRA ESPORTIVA, COM TELA DE ARAME GALVANIZADO FIO 12 # 2", FIXADO EM QUADROS DE TUBOS DE AÇO GALVANIZADO D = 2", ALT. = 1,00 M</t>
  </si>
  <si>
    <t>PIN-LAT-005</t>
  </si>
  <si>
    <t xml:space="preserve">PINTURA LÁTEX PVA, 2 DEMÃOS SEM MASSA CORRIDA    </t>
  </si>
  <si>
    <t>TER-API-005</t>
  </si>
  <si>
    <t xml:space="preserve">APILOAMENTO DO FUNDO DE VALAS COM SOQUETE               </t>
  </si>
  <si>
    <t>SER-POR-075</t>
  </si>
  <si>
    <t xml:space="preserve">PORTÃO EM TUBO GALVANIZADO 2 1/2 C/ TELA FIO 12 # 1/2        </t>
  </si>
  <si>
    <t>MEMÓRIA DE CÁLCULO DE QUANTITATIVOS</t>
  </si>
  <si>
    <t>FÓRMULAS</t>
  </si>
  <si>
    <t>[(36,0+23,5+36,0+23,5)x0,8]+[(36,3+23,8+36,3+23,8)x0,95]=</t>
  </si>
  <si>
    <t>(32,0x20,0)=</t>
  </si>
  <si>
    <t xml:space="preserve">Volei: (18,0x2)+(9,0*4)=72,0 </t>
  </si>
  <si>
    <t>Basquete: (28,0+15,0)x2+2x(19,6+3,15+11,6+3,6+5,65)+11,30=184,5</t>
  </si>
  <si>
    <t>Futsal: (32,0+20,0)x2+20,0+18,85+(3,0+18,85)x2=186,55</t>
  </si>
  <si>
    <t>m</t>
  </si>
  <si>
    <t>UNITÁRIO S/ BDI</t>
  </si>
  <si>
    <t>QUANT</t>
  </si>
  <si>
    <t>UNITÁRIO C/ BDI</t>
  </si>
  <si>
    <t>[(23,8x2,0)x2]= 95,20</t>
  </si>
  <si>
    <t>1.0</t>
  </si>
  <si>
    <t>1.1</t>
  </si>
  <si>
    <t>1.2</t>
  </si>
  <si>
    <t>2.0</t>
  </si>
  <si>
    <t>2.1</t>
  </si>
  <si>
    <t>5.1</t>
  </si>
  <si>
    <t>3.2</t>
  </si>
  <si>
    <t>3.0</t>
  </si>
  <si>
    <t>3.1</t>
  </si>
  <si>
    <t>4.0</t>
  </si>
  <si>
    <t>4.1</t>
  </si>
  <si>
    <t>4.2</t>
  </si>
  <si>
    <t>5.0</t>
  </si>
  <si>
    <t>5.2</t>
  </si>
  <si>
    <t>5.3</t>
  </si>
  <si>
    <t>6.0</t>
  </si>
  <si>
    <t>6.1</t>
  </si>
  <si>
    <t>6.2</t>
  </si>
  <si>
    <t>7.0</t>
  </si>
  <si>
    <t>7.1</t>
  </si>
  <si>
    <t>7.2</t>
  </si>
  <si>
    <t>7.3</t>
  </si>
  <si>
    <t>8.0</t>
  </si>
  <si>
    <t>8.1</t>
  </si>
  <si>
    <t>8.2</t>
  </si>
  <si>
    <t>9.0</t>
  </si>
  <si>
    <t>9.1</t>
  </si>
  <si>
    <t>9.2</t>
  </si>
  <si>
    <t>9.3</t>
  </si>
  <si>
    <t>10.0</t>
  </si>
  <si>
    <t>10.1</t>
  </si>
  <si>
    <t>CONCEDENTE: SECRETARIA DE ESTADO DE ESPORTES</t>
  </si>
  <si>
    <t>BDI:</t>
  </si>
  <si>
    <t>VALOR TOTAL DA OBRA:</t>
  </si>
  <si>
    <t>VALOR  DO CONVENIO:</t>
  </si>
  <si>
    <t>VALOR  DA CONTRAPARTIDA:</t>
  </si>
  <si>
    <t>CRONOGRAMA FÍSICO-FINANCEIRO</t>
  </si>
  <si>
    <t>DATA:</t>
  </si>
  <si>
    <t xml:space="preserve">VALOR DO CONENVENIO: </t>
  </si>
  <si>
    <t xml:space="preserve">VALOR DA CONTRAPARTIDA: </t>
  </si>
  <si>
    <t>Físico %</t>
  </si>
  <si>
    <t>Financeiro</t>
  </si>
  <si>
    <t xml:space="preserve"> </t>
  </si>
  <si>
    <t>PREFEITURA MUNICIPAL DE JAPONVAR/MG</t>
  </si>
  <si>
    <t>SUB TOTAL</t>
  </si>
  <si>
    <t xml:space="preserve">DETALHAMENTO DO BDI </t>
  </si>
  <si>
    <t>SERVIÇOS PARA CONSTRUÇÕES DE EDIFICIOS DE ACORDO COM ACÓRDÃO TCU</t>
  </si>
  <si>
    <t>SIGLA</t>
  </si>
  <si>
    <t>COMPOSIÇÃO DO BDI:</t>
  </si>
  <si>
    <t>PERCENTUAIS (%)</t>
  </si>
  <si>
    <t>TAXA DE TRIBUTOS</t>
  </si>
  <si>
    <t>PIS =</t>
  </si>
  <si>
    <t>AC</t>
  </si>
  <si>
    <t xml:space="preserve">ADMINISTRAÇÃO CENTRAL </t>
  </si>
  <si>
    <t>CONFINS =</t>
  </si>
  <si>
    <t>S</t>
  </si>
  <si>
    <t xml:space="preserve">TAXA DE SEGUROS </t>
  </si>
  <si>
    <t>ISS=</t>
  </si>
  <si>
    <t>G</t>
  </si>
  <si>
    <t>TAXA DE GARANTIAS</t>
  </si>
  <si>
    <t>R</t>
  </si>
  <si>
    <t xml:space="preserve">TAXA DE RISCOS </t>
  </si>
  <si>
    <t>DF</t>
  </si>
  <si>
    <t xml:space="preserve">TAXA DE DESPESAS/FINANCEIRAS </t>
  </si>
  <si>
    <t>I =</t>
  </si>
  <si>
    <t>L</t>
  </si>
  <si>
    <t>TAXA DE LUCROS/REMUNERAÇÃO</t>
  </si>
  <si>
    <t>I</t>
  </si>
  <si>
    <t>CPRB</t>
  </si>
  <si>
    <t>BDI=</t>
  </si>
  <si>
    <t>BDI % = (1+(AC+S+G+R))*(1+DF)*(1+L)/(1-(I+CPRB)</t>
  </si>
  <si>
    <t>ORÇAMENTO - DATA BASE - REGIÃO NORTE JANEIRO- 2018 PREÇO DE CUSTO COM DESONERAÇÃO FISCAL - LEI 13.161/2015</t>
  </si>
  <si>
    <t xml:space="preserve">LOCAL DA OBRA:  COMUNIDADE DOIS BARREIROS / JAPONVAR - MG   </t>
  </si>
  <si>
    <r>
      <t xml:space="preserve">LOCAL: </t>
    </r>
    <r>
      <rPr>
        <sz val="10"/>
        <rFont val="Arial"/>
        <family val="2"/>
      </rPr>
      <t>COMUNIDADE DOIS BARREIROS / JAPONVAR-MG</t>
    </r>
  </si>
  <si>
    <t>un</t>
  </si>
  <si>
    <t>2x1,2x2 = 4,80</t>
  </si>
  <si>
    <t>(36,3x23,8) = 863,94</t>
  </si>
  <si>
    <t>____________________________________________________</t>
  </si>
  <si>
    <t>Prefeito Municipal de Japonvar/MG</t>
  </si>
  <si>
    <t>_________________________________</t>
  </si>
  <si>
    <t xml:space="preserve">Mureta: (36,3+23,8+36,3+23,8)x0,8-(8,0) = </t>
  </si>
  <si>
    <t xml:space="preserve">Pilaretes: (0,2x0,8)x50 = </t>
  </si>
  <si>
    <t xml:space="preserve">(36,3+23,5+36,3+23,8)x0,4 = </t>
  </si>
  <si>
    <t xml:space="preserve">(36,0x23,5) = </t>
  </si>
  <si>
    <t xml:space="preserve">(36,0x23,5)*0,05 = </t>
  </si>
  <si>
    <t xml:space="preserve">(38,3x25,8) = </t>
  </si>
  <si>
    <t xml:space="preserve">(36,3x23,8) = </t>
  </si>
  <si>
    <t xml:space="preserve">(36,3+23,5+36,3+23,8)x0,2x0,3 = </t>
  </si>
  <si>
    <t xml:space="preserve">(36,3+23,5+36,3+23,8)x0,2 = </t>
  </si>
  <si>
    <t>quantidade inserida conforme planilha orçamentária. Favor verificar e consolidar</t>
  </si>
  <si>
    <t xml:space="preserve">1+1 </t>
  </si>
  <si>
    <t>1+1</t>
  </si>
  <si>
    <t>GABRIEL VINICIUS MARTINS - CREA 230.779/D</t>
  </si>
  <si>
    <t>RESPONSÁVEL PELO ORÇAMENTO:  GABRIEL VINICIUS MARTINS - ENG. CIVIL CREA MG Nº: 230.779/D</t>
  </si>
  <si>
    <t>Engenheiro Civil</t>
  </si>
  <si>
    <t>ENGENHEIRO CIVIL</t>
  </si>
  <si>
    <t>RESPONSÁVEL PELO ORÇAMENTO:  GABRIEL VINICIUS MARTINS - ENG. CIVIL- CREA 230.779/D</t>
  </si>
  <si>
    <t>GABRIEL VINICIUS MARTINS</t>
  </si>
  <si>
    <t>ENGENHEIRO CIVIL CREA MG N°: 230.779/D</t>
  </si>
  <si>
    <r>
      <rPr>
        <b/>
        <sz val="8"/>
        <rFont val="Arial"/>
        <family val="2"/>
      </rPr>
      <t>ISS</t>
    </r>
    <r>
      <rPr>
        <sz val="8"/>
        <rFont val="Arial"/>
        <family val="2"/>
      </rPr>
      <t xml:space="preserve"> - CONSIDERADO 4</t>
    </r>
    <r>
      <rPr>
        <b/>
        <sz val="8"/>
        <rFont val="Arial"/>
        <family val="2"/>
      </rPr>
      <t>%</t>
    </r>
    <r>
      <rPr>
        <sz val="8"/>
        <rFont val="Arial"/>
        <family val="2"/>
      </rPr>
      <t xml:space="preserve"> DA ALÍQUOTA JAPONVAR</t>
    </r>
  </si>
  <si>
    <t>WELSON GONÇALVES DA SILVA</t>
  </si>
  <si>
    <t>Convênio nº 1301000600/2018</t>
  </si>
  <si>
    <t>Proposta nº 985/2018</t>
  </si>
  <si>
    <t>OBRA: CONSTRUÇÃO DE QUADRA POLIESPORTIVA- COMUNIDADE DE DOIS BARREIROS</t>
  </si>
  <si>
    <r>
      <rPr>
        <b/>
        <sz val="10"/>
        <rFont val="Arial"/>
        <family val="2"/>
      </rPr>
      <t>OBRA:</t>
    </r>
    <r>
      <rPr>
        <sz val="10"/>
        <rFont val="Arial"/>
        <family val="2"/>
      </rPr>
      <t xml:space="preserve"> CONSTRUÇÃO DE QUADRA POLIESPORTIVA- COMUNIDADE DE DOIS BARREIROS</t>
    </r>
  </si>
  <si>
    <r>
      <t>PROPONENTE:</t>
    </r>
    <r>
      <rPr>
        <sz val="10"/>
        <rFont val="Arial"/>
        <family val="2"/>
      </rPr>
      <t xml:space="preserve"> PREFEITURA MUNICIPAL DE JAPONVAR/ MG</t>
    </r>
  </si>
  <si>
    <t>Convênio nº 1301000600/2018                  Proposta nº 985/2018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</si>
</sst>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_(* #,##0.00_);_(* \(#,##0.00\);_(* \-??_);_(@_)"/>
    <numFmt numFmtId="183" formatCode="0.0%"/>
    <numFmt numFmtId="184" formatCode="&quot;R$&quot;\ #,##0.00"/>
    <numFmt numFmtId="185" formatCode="&quot;R$&quot;#,##0.00"/>
  </numFmts>
  <fonts count="5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00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>
        <color rgb="FF000000"/>
      </top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hair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175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176" fontId="0" fillId="33" borderId="10" xfId="47" applyFont="1" applyFill="1" applyBorder="1" applyAlignment="1">
      <alignment vertical="center"/>
    </xf>
    <xf numFmtId="49" fontId="9" fillId="0" borderId="16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/>
    </xf>
    <xf numFmtId="176" fontId="2" fillId="0" borderId="20" xfId="47" applyFont="1" applyBorder="1" applyAlignment="1">
      <alignment vertical="center"/>
    </xf>
    <xf numFmtId="176" fontId="2" fillId="0" borderId="21" xfId="47" applyFont="1" applyBorder="1" applyAlignment="1">
      <alignment vertical="center"/>
    </xf>
    <xf numFmtId="0" fontId="36" fillId="0" borderId="22" xfId="52" applyFont="1" applyBorder="1">
      <alignment/>
      <protection/>
    </xf>
    <xf numFmtId="0" fontId="36" fillId="0" borderId="23" xfId="52" applyFont="1" applyBorder="1">
      <alignment/>
      <protection/>
    </xf>
    <xf numFmtId="0" fontId="0" fillId="0" borderId="0" xfId="0" applyBorder="1" applyAlignment="1">
      <alignment/>
    </xf>
    <xf numFmtId="0" fontId="36" fillId="0" borderId="0" xfId="52" applyFont="1" applyBorder="1">
      <alignment/>
      <protection/>
    </xf>
    <xf numFmtId="14" fontId="0" fillId="0" borderId="24" xfId="52" applyNumberFormat="1" applyFont="1" applyBorder="1" applyAlignment="1">
      <alignment horizontal="left" vertical="center" wrapText="1"/>
      <protection/>
    </xf>
    <xf numFmtId="184" fontId="0" fillId="0" borderId="24" xfId="52" applyNumberFormat="1" applyFont="1" applyBorder="1" applyAlignment="1">
      <alignment horizontal="left" vertical="center" wrapText="1"/>
      <protection/>
    </xf>
    <xf numFmtId="184" fontId="0" fillId="0" borderId="25" xfId="52" applyNumberFormat="1" applyFont="1" applyBorder="1" applyAlignment="1">
      <alignment horizontal="left" vertical="center" wrapText="1"/>
      <protection/>
    </xf>
    <xf numFmtId="0" fontId="0" fillId="0" borderId="26" xfId="52" applyFont="1" applyBorder="1" applyAlignment="1">
      <alignment horizontal="center" vertical="center"/>
      <protection/>
    </xf>
    <xf numFmtId="10" fontId="0" fillId="0" borderId="26" xfId="54" applyNumberFormat="1" applyFont="1" applyBorder="1" applyAlignment="1">
      <alignment horizontal="center" vertical="center"/>
    </xf>
    <xf numFmtId="9" fontId="0" fillId="0" borderId="26" xfId="54" applyFont="1" applyBorder="1" applyAlignment="1">
      <alignment horizontal="center" vertical="center"/>
    </xf>
    <xf numFmtId="10" fontId="2" fillId="35" borderId="26" xfId="54" applyNumberFormat="1" applyFont="1" applyFill="1" applyBorder="1" applyAlignment="1">
      <alignment horizontal="center" vertical="center"/>
    </xf>
    <xf numFmtId="184" fontId="0" fillId="0" borderId="26" xfId="52" applyNumberFormat="1" applyFont="1" applyBorder="1" applyAlignment="1">
      <alignment horizontal="center" vertical="center"/>
      <protection/>
    </xf>
    <xf numFmtId="44" fontId="0" fillId="0" borderId="26" xfId="49" applyFont="1" applyBorder="1" applyAlignment="1">
      <alignment horizontal="center" vertical="center"/>
    </xf>
    <xf numFmtId="0" fontId="2" fillId="36" borderId="26" xfId="52" applyFont="1" applyFill="1" applyBorder="1" applyAlignment="1">
      <alignment horizontal="center" vertical="center"/>
      <protection/>
    </xf>
    <xf numFmtId="10" fontId="0" fillId="37" borderId="26" xfId="54" applyNumberFormat="1" applyFont="1" applyFill="1" applyBorder="1" applyAlignment="1">
      <alignment horizontal="center" vertical="center"/>
    </xf>
    <xf numFmtId="184" fontId="2" fillId="36" borderId="26" xfId="52" applyNumberFormat="1" applyFont="1" applyFill="1" applyBorder="1" applyAlignment="1">
      <alignment horizontal="center" vertical="center"/>
      <protection/>
    </xf>
    <xf numFmtId="0" fontId="36" fillId="0" borderId="27" xfId="52" applyFont="1" applyBorder="1">
      <alignment/>
      <protection/>
    </xf>
    <xf numFmtId="0" fontId="0" fillId="0" borderId="28" xfId="52" applyFont="1" applyBorder="1" applyAlignment="1">
      <alignment/>
      <protection/>
    </xf>
    <xf numFmtId="0" fontId="0" fillId="0" borderId="0" xfId="52" applyFont="1" applyBorder="1" applyAlignment="1">
      <alignment/>
      <protection/>
    </xf>
    <xf numFmtId="0" fontId="0" fillId="0" borderId="29" xfId="52" applyFont="1" applyBorder="1" applyAlignment="1">
      <alignment/>
      <protection/>
    </xf>
    <xf numFmtId="0" fontId="0" fillId="0" borderId="28" xfId="0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36" fillId="0" borderId="26" xfId="52" applyFont="1" applyBorder="1">
      <alignment/>
      <protection/>
    </xf>
    <xf numFmtId="0" fontId="0" fillId="33" borderId="10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7" xfId="0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0" xfId="0" applyFont="1" applyAlignment="1">
      <alignment/>
    </xf>
    <xf numFmtId="0" fontId="10" fillId="0" borderId="29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" fillId="0" borderId="10" xfId="0" applyFont="1" applyBorder="1" applyAlignment="1">
      <alignment/>
    </xf>
    <xf numFmtId="10" fontId="1" fillId="0" borderId="10" xfId="56" applyNumberFormat="1" applyFont="1" applyBorder="1" applyAlignment="1">
      <alignment/>
    </xf>
    <xf numFmtId="10" fontId="10" fillId="0" borderId="0" xfId="56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26" xfId="0" applyFont="1" applyBorder="1" applyAlignment="1">
      <alignment/>
    </xf>
    <xf numFmtId="2" fontId="0" fillId="0" borderId="10" xfId="67" applyNumberFormat="1" applyFont="1" applyFill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2" fontId="0" fillId="0" borderId="10" xfId="67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49" fontId="9" fillId="38" borderId="10" xfId="0" applyNumberFormat="1" applyFont="1" applyFill="1" applyBorder="1" applyAlignment="1">
      <alignment vertical="center" wrapText="1"/>
    </xf>
    <xf numFmtId="177" fontId="0" fillId="0" borderId="10" xfId="67" applyFont="1" applyFill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177" fontId="0" fillId="0" borderId="14" xfId="67" applyFont="1" applyFill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30" xfId="0" applyBorder="1" applyAlignment="1">
      <alignment/>
    </xf>
    <xf numFmtId="49" fontId="9" fillId="0" borderId="35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10" fontId="0" fillId="0" borderId="10" xfId="55" applyNumberFormat="1" applyBorder="1" applyAlignment="1">
      <alignment/>
    </xf>
    <xf numFmtId="0" fontId="0" fillId="34" borderId="0" xfId="0" applyFont="1" applyFill="1" applyBorder="1" applyAlignment="1">
      <alignment horizontal="left" vertical="center" wrapText="1"/>
    </xf>
    <xf numFmtId="49" fontId="4" fillId="0" borderId="36" xfId="67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2" fontId="3" fillId="33" borderId="12" xfId="0" applyNumberFormat="1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2" fontId="3" fillId="0" borderId="18" xfId="0" applyNumberFormat="1" applyFont="1" applyBorder="1" applyAlignment="1">
      <alignment horizontal="right" vertical="center"/>
    </xf>
    <xf numFmtId="49" fontId="3" fillId="0" borderId="20" xfId="0" applyNumberFormat="1" applyFont="1" applyBorder="1" applyAlignment="1">
      <alignment horizontal="left" vertical="center"/>
    </xf>
    <xf numFmtId="2" fontId="3" fillId="0" borderId="17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horizontal="left" vertical="center"/>
    </xf>
    <xf numFmtId="2" fontId="3" fillId="0" borderId="33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horizontal="left" vertical="center"/>
    </xf>
    <xf numFmtId="2" fontId="3" fillId="0" borderId="12" xfId="67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left" vertical="center"/>
    </xf>
    <xf numFmtId="2" fontId="3" fillId="0" borderId="12" xfId="0" applyNumberFormat="1" applyFont="1" applyFill="1" applyBorder="1" applyAlignment="1">
      <alignment horizontal="right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3" fillId="0" borderId="0" xfId="47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34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/>
    </xf>
    <xf numFmtId="0" fontId="3" fillId="34" borderId="32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4" fillId="0" borderId="34" xfId="0" applyFont="1" applyBorder="1" applyAlignment="1">
      <alignment vertical="center"/>
    </xf>
    <xf numFmtId="0" fontId="0" fillId="34" borderId="0" xfId="0" applyFont="1" applyFill="1" applyAlignment="1">
      <alignment vertical="center" wrapText="1"/>
    </xf>
    <xf numFmtId="0" fontId="0" fillId="34" borderId="0" xfId="0" applyFont="1" applyFill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49" fontId="8" fillId="0" borderId="35" xfId="0" applyNumberFormat="1" applyFont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/>
    </xf>
    <xf numFmtId="184" fontId="0" fillId="0" borderId="10" xfId="0" applyNumberFormat="1" applyFont="1" applyBorder="1" applyAlignment="1">
      <alignment vertical="center"/>
    </xf>
    <xf numFmtId="184" fontId="0" fillId="0" borderId="10" xfId="47" applyNumberFormat="1" applyFont="1" applyBorder="1" applyAlignment="1">
      <alignment vertical="center"/>
    </xf>
    <xf numFmtId="184" fontId="2" fillId="33" borderId="10" xfId="0" applyNumberFormat="1" applyFont="1" applyFill="1" applyBorder="1" applyAlignment="1">
      <alignment vertical="center"/>
    </xf>
    <xf numFmtId="184" fontId="0" fillId="0" borderId="10" xfId="0" applyNumberFormat="1" applyFont="1" applyFill="1" applyBorder="1" applyAlignment="1">
      <alignment vertical="center"/>
    </xf>
    <xf numFmtId="184" fontId="2" fillId="33" borderId="10" xfId="47" applyNumberFormat="1" applyFont="1" applyFill="1" applyBorder="1" applyAlignment="1">
      <alignment vertical="center"/>
    </xf>
    <xf numFmtId="7" fontId="0" fillId="35" borderId="26" xfId="49" applyNumberFormat="1" applyFont="1" applyFill="1" applyBorder="1" applyAlignment="1">
      <alignment horizontal="center" vertical="center"/>
    </xf>
    <xf numFmtId="184" fontId="2" fillId="35" borderId="26" xfId="49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34" borderId="0" xfId="0" applyFont="1" applyFill="1" applyAlignment="1">
      <alignment vertical="center" wrapText="1"/>
    </xf>
    <xf numFmtId="0" fontId="11" fillId="34" borderId="0" xfId="0" applyFont="1" applyFill="1" applyAlignment="1">
      <alignment vertical="center"/>
    </xf>
    <xf numFmtId="0" fontId="11" fillId="34" borderId="0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8" fillId="0" borderId="36" xfId="0" applyFont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49" fontId="8" fillId="38" borderId="10" xfId="0" applyNumberFormat="1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2" fontId="4" fillId="0" borderId="10" xfId="67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4" fillId="0" borderId="10" xfId="67" applyNumberFormat="1" applyFont="1" applyBorder="1" applyAlignment="1">
      <alignment horizontal="center" vertical="center" wrapText="1"/>
    </xf>
    <xf numFmtId="49" fontId="4" fillId="0" borderId="14" xfId="67" applyNumberFormat="1" applyFont="1" applyBorder="1" applyAlignment="1">
      <alignment horizontal="center" vertical="center" wrapText="1"/>
    </xf>
    <xf numFmtId="49" fontId="4" fillId="0" borderId="15" xfId="67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0" fillId="34" borderId="0" xfId="0" applyFont="1" applyFill="1" applyBorder="1" applyAlignment="1">
      <alignment horizontal="center" vertical="center"/>
    </xf>
    <xf numFmtId="0" fontId="53" fillId="0" borderId="0" xfId="0" applyFont="1" applyAlignment="1">
      <alignment vertical="center"/>
    </xf>
    <xf numFmtId="177" fontId="4" fillId="0" borderId="10" xfId="67" applyFont="1" applyFill="1" applyBorder="1" applyAlignment="1">
      <alignment horizontal="center" vertical="center" wrapText="1"/>
    </xf>
    <xf numFmtId="3" fontId="4" fillId="0" borderId="10" xfId="67" applyNumberFormat="1" applyFont="1" applyFill="1" applyBorder="1" applyAlignment="1">
      <alignment horizontal="center" vertical="center"/>
    </xf>
    <xf numFmtId="177" fontId="4" fillId="0" borderId="14" xfId="67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vertical="center"/>
    </xf>
    <xf numFmtId="183" fontId="36" fillId="0" borderId="0" xfId="55" applyNumberFormat="1" applyFont="1" applyBorder="1" applyAlignment="1">
      <alignment/>
    </xf>
    <xf numFmtId="183" fontId="36" fillId="0" borderId="0" xfId="52" applyNumberFormat="1" applyFont="1" applyBorder="1">
      <alignment/>
      <protection/>
    </xf>
    <xf numFmtId="9" fontId="36" fillId="0" borderId="0" xfId="52" applyNumberFormat="1" applyFont="1" applyBorder="1">
      <alignment/>
      <protection/>
    </xf>
    <xf numFmtId="0" fontId="5" fillId="0" borderId="12" xfId="0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84" fontId="5" fillId="0" borderId="12" xfId="0" applyNumberFormat="1" applyFont="1" applyFill="1" applyBorder="1" applyAlignment="1">
      <alignment horizontal="center" vertical="center"/>
    </xf>
    <xf numFmtId="184" fontId="5" fillId="0" borderId="13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right" vertical="center" wrapText="1"/>
    </xf>
    <xf numFmtId="0" fontId="2" fillId="33" borderId="37" xfId="0" applyFont="1" applyFill="1" applyBorder="1" applyAlignment="1">
      <alignment horizontal="right" vertical="center" wrapText="1"/>
    </xf>
    <xf numFmtId="0" fontId="2" fillId="33" borderId="13" xfId="0" applyFont="1" applyFill="1" applyBorder="1" applyAlignment="1">
      <alignment horizontal="right" vertical="center" wrapText="1"/>
    </xf>
    <xf numFmtId="0" fontId="5" fillId="39" borderId="1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right" vertical="center"/>
    </xf>
    <xf numFmtId="0" fontId="5" fillId="0" borderId="37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10" fontId="5" fillId="0" borderId="12" xfId="55" applyNumberFormat="1" applyFont="1" applyBorder="1" applyAlignment="1">
      <alignment horizontal="center" vertical="center"/>
    </xf>
    <xf numFmtId="10" fontId="5" fillId="0" borderId="13" xfId="55" applyNumberFormat="1" applyFont="1" applyBorder="1" applyAlignment="1">
      <alignment horizontal="center" vertical="center"/>
    </xf>
    <xf numFmtId="0" fontId="2" fillId="33" borderId="12" xfId="0" applyFont="1" applyFill="1" applyBorder="1" applyAlignment="1">
      <alignment horizontal="right" vertical="center"/>
    </xf>
    <xf numFmtId="0" fontId="2" fillId="33" borderId="37" xfId="0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right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 wrapText="1"/>
    </xf>
    <xf numFmtId="0" fontId="8" fillId="0" borderId="36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36" borderId="38" xfId="52" applyFont="1" applyFill="1" applyBorder="1" applyAlignment="1">
      <alignment horizontal="center" vertical="center"/>
      <protection/>
    </xf>
    <xf numFmtId="0" fontId="2" fillId="36" borderId="39" xfId="52" applyFont="1" applyFill="1" applyBorder="1" applyAlignment="1">
      <alignment horizontal="center" vertical="center"/>
      <protection/>
    </xf>
    <xf numFmtId="184" fontId="2" fillId="36" borderId="38" xfId="49" applyNumberFormat="1" applyFont="1" applyFill="1" applyBorder="1" applyAlignment="1">
      <alignment horizontal="center" vertical="center"/>
    </xf>
    <xf numFmtId="44" fontId="2" fillId="36" borderId="39" xfId="49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54" fillId="0" borderId="40" xfId="51" applyFont="1" applyBorder="1" applyAlignment="1">
      <alignment vertical="center" wrapText="1"/>
      <protection/>
    </xf>
    <xf numFmtId="0" fontId="54" fillId="0" borderId="41" xfId="51" applyFont="1" applyBorder="1" applyAlignment="1">
      <alignment vertical="center" wrapText="1"/>
      <protection/>
    </xf>
    <xf numFmtId="184" fontId="55" fillId="0" borderId="42" xfId="51" applyNumberFormat="1" applyFont="1" applyBorder="1" applyAlignment="1">
      <alignment horizontal="center" vertical="center" wrapText="1"/>
      <protection/>
    </xf>
    <xf numFmtId="184" fontId="55" fillId="0" borderId="39" xfId="51" applyNumberFormat="1" applyFont="1" applyBorder="1" applyAlignment="1">
      <alignment horizontal="center" vertical="center" wrapText="1"/>
      <protection/>
    </xf>
    <xf numFmtId="0" fontId="54" fillId="0" borderId="43" xfId="51" applyFont="1" applyBorder="1" applyAlignment="1">
      <alignment vertical="center" wrapText="1"/>
      <protection/>
    </xf>
    <xf numFmtId="0" fontId="2" fillId="0" borderId="44" xfId="52" applyFont="1" applyBorder="1" applyAlignment="1">
      <alignment horizontal="left" vertical="center" wrapText="1"/>
      <protection/>
    </xf>
    <xf numFmtId="0" fontId="2" fillId="0" borderId="10" xfId="52" applyFont="1" applyBorder="1" applyAlignment="1">
      <alignment horizontal="left" vertical="center" wrapText="1"/>
      <protection/>
    </xf>
    <xf numFmtId="0" fontId="2" fillId="0" borderId="10" xfId="52" applyFont="1" applyBorder="1" applyAlignment="1">
      <alignment horizontal="right" vertical="center" wrapText="1"/>
      <protection/>
    </xf>
    <xf numFmtId="0" fontId="2" fillId="0" borderId="45" xfId="52" applyFont="1" applyBorder="1" applyAlignment="1">
      <alignment horizontal="left" vertical="center" wrapText="1"/>
      <protection/>
    </xf>
    <xf numFmtId="0" fontId="2" fillId="0" borderId="46" xfId="52" applyFont="1" applyBorder="1" applyAlignment="1">
      <alignment horizontal="left" vertical="center" wrapText="1"/>
      <protection/>
    </xf>
    <xf numFmtId="0" fontId="2" fillId="0" borderId="47" xfId="52" applyFont="1" applyBorder="1" applyAlignment="1">
      <alignment horizontal="left" vertical="center" wrapText="1"/>
      <protection/>
    </xf>
    <xf numFmtId="0" fontId="2" fillId="0" borderId="48" xfId="52" applyFont="1" applyBorder="1" applyAlignment="1">
      <alignment horizontal="right" vertical="center" wrapText="1"/>
      <protection/>
    </xf>
    <xf numFmtId="0" fontId="54" fillId="0" borderId="49" xfId="51" applyFont="1" applyBorder="1" applyAlignment="1">
      <alignment wrapText="1"/>
      <protection/>
    </xf>
    <xf numFmtId="0" fontId="54" fillId="0" borderId="39" xfId="51" applyFont="1" applyBorder="1" applyAlignment="1">
      <alignment wrapText="1"/>
      <protection/>
    </xf>
    <xf numFmtId="184" fontId="55" fillId="0" borderId="49" xfId="51" applyNumberFormat="1" applyFont="1" applyBorder="1" applyAlignment="1">
      <alignment horizontal="center" vertical="center" wrapText="1"/>
      <protection/>
    </xf>
    <xf numFmtId="0" fontId="56" fillId="0" borderId="50" xfId="52" applyFont="1" applyBorder="1" applyAlignment="1">
      <alignment horizontal="center" vertical="center"/>
      <protection/>
    </xf>
    <xf numFmtId="0" fontId="56" fillId="0" borderId="51" xfId="52" applyFont="1" applyBorder="1" applyAlignment="1">
      <alignment horizontal="center" vertical="center"/>
      <protection/>
    </xf>
    <xf numFmtId="0" fontId="56" fillId="0" borderId="52" xfId="52" applyFont="1" applyBorder="1" applyAlignment="1">
      <alignment horizontal="center" vertical="center"/>
      <protection/>
    </xf>
    <xf numFmtId="0" fontId="57" fillId="40" borderId="22" xfId="52" applyFont="1" applyFill="1" applyBorder="1" applyAlignment="1">
      <alignment horizontal="center" vertical="center"/>
      <protection/>
    </xf>
    <xf numFmtId="0" fontId="57" fillId="40" borderId="23" xfId="52" applyFont="1" applyFill="1" applyBorder="1" applyAlignment="1">
      <alignment horizontal="center" vertical="center"/>
      <protection/>
    </xf>
    <xf numFmtId="0" fontId="57" fillId="40" borderId="27" xfId="52" applyFont="1" applyFill="1" applyBorder="1" applyAlignment="1">
      <alignment horizontal="center" vertical="center"/>
      <protection/>
    </xf>
    <xf numFmtId="0" fontId="58" fillId="0" borderId="22" xfId="52" applyFont="1" applyBorder="1" applyAlignment="1">
      <alignment horizontal="center"/>
      <protection/>
    </xf>
    <xf numFmtId="0" fontId="58" fillId="0" borderId="23" xfId="52" applyFont="1" applyBorder="1" applyAlignment="1">
      <alignment horizontal="center"/>
      <protection/>
    </xf>
    <xf numFmtId="0" fontId="58" fillId="0" borderId="27" xfId="52" applyFont="1" applyBorder="1" applyAlignment="1">
      <alignment horizontal="center"/>
      <protection/>
    </xf>
    <xf numFmtId="0" fontId="0" fillId="0" borderId="44" xfId="52" applyFont="1" applyBorder="1" applyAlignment="1">
      <alignment horizontal="left" vertical="center" wrapText="1"/>
      <protection/>
    </xf>
    <xf numFmtId="0" fontId="0" fillId="0" borderId="10" xfId="52" applyFont="1" applyBorder="1" applyAlignment="1">
      <alignment horizontal="left" vertical="center" wrapText="1"/>
      <protection/>
    </xf>
    <xf numFmtId="0" fontId="5" fillId="0" borderId="23" xfId="0" applyFont="1" applyBorder="1" applyAlignment="1">
      <alignment horizontal="center"/>
    </xf>
    <xf numFmtId="0" fontId="10" fillId="0" borderId="0" xfId="0" applyFont="1" applyBorder="1" applyAlignment="1">
      <alignment horizontal="center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3" xfId="49"/>
    <cellStyle name="Neutra" xfId="50"/>
    <cellStyle name="Normal 2" xfId="51"/>
    <cellStyle name="Normal 3" xfId="52"/>
    <cellStyle name="Nota" xfId="53"/>
    <cellStyle name="Percentagem 2" xfId="54"/>
    <cellStyle name="Percent" xfId="55"/>
    <cellStyle name="Porcentagem 2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0</xdr:row>
      <xdr:rowOff>133350</xdr:rowOff>
    </xdr:from>
    <xdr:to>
      <xdr:col>3</xdr:col>
      <xdr:colOff>419100</xdr:colOff>
      <xdr:row>0</xdr:row>
      <xdr:rowOff>819150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1504950" y="133350"/>
          <a:ext cx="367665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DE MINAS GERAIS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Secretaria de Estado de Transportes e Obras Públicas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Superintendência de Apoio a Infra-estrutura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Diretoria de Prestação de Contas</a:t>
          </a:r>
        </a:p>
      </xdr:txBody>
    </xdr:sp>
    <xdr:clientData/>
  </xdr:twoCellAnchor>
  <xdr:twoCellAnchor>
    <xdr:from>
      <xdr:col>2</xdr:col>
      <xdr:colOff>542925</xdr:colOff>
      <xdr:row>70</xdr:row>
      <xdr:rowOff>85725</xdr:rowOff>
    </xdr:from>
    <xdr:to>
      <xdr:col>5</xdr:col>
      <xdr:colOff>781050</xdr:colOff>
      <xdr:row>74</xdr:row>
      <xdr:rowOff>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1876425" y="15297150"/>
          <a:ext cx="51339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Secretaria de Estado de Transportes e Obras Públicas  - SETOP - MG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Internet: www.transportes.mg.gov.br / E-mail: dpc@transportes.mg.gov.br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Fone Geral: (31) 3239-0999 - Fax: (31) 3239-0899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Sede: Rua Manaus, nº 467 - Bairro Santa Efigênia - CEP 30150-350 - Belo Horizonte - MG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5"/>
  <sheetViews>
    <sheetView tabSelected="1" view="pageBreakPreview" zoomScale="75" zoomScaleNormal="75" zoomScaleSheetLayoutView="75" zoomScalePageLayoutView="0" workbookViewId="0" topLeftCell="A49">
      <selection activeCell="L16" sqref="L16"/>
    </sheetView>
  </sheetViews>
  <sheetFormatPr defaultColWidth="9.140625" defaultRowHeight="12.75"/>
  <cols>
    <col min="1" max="1" width="7.140625" style="69" bestFit="1" customWidth="1"/>
    <col min="2" max="2" width="12.8515625" style="70" bestFit="1" customWidth="1"/>
    <col min="3" max="3" width="51.421875" style="70" customWidth="1"/>
    <col min="4" max="4" width="12.00390625" style="70" bestFit="1" customWidth="1"/>
    <col min="5" max="5" width="10.00390625" style="70" bestFit="1" customWidth="1"/>
    <col min="6" max="6" width="12.421875" style="70" customWidth="1"/>
    <col min="7" max="7" width="12.8515625" style="70" customWidth="1"/>
    <col min="8" max="8" width="17.140625" style="70" bestFit="1" customWidth="1"/>
    <col min="9" max="9" width="9.140625" style="70" customWidth="1"/>
    <col min="10" max="10" width="10.140625" style="70" bestFit="1" customWidth="1"/>
    <col min="11" max="16384" width="9.140625" style="70" customWidth="1"/>
  </cols>
  <sheetData>
    <row r="1" spans="1:8" ht="69" customHeight="1">
      <c r="A1" s="176"/>
      <c r="B1" s="177"/>
      <c r="C1" s="177"/>
      <c r="D1" s="177"/>
      <c r="E1" s="177"/>
      <c r="F1" s="177"/>
      <c r="G1" s="177"/>
      <c r="H1" s="178"/>
    </row>
    <row r="2" spans="1:8" s="140" customFormat="1" ht="15">
      <c r="A2" s="184" t="s">
        <v>5</v>
      </c>
      <c r="B2" s="184"/>
      <c r="C2" s="184"/>
      <c r="D2" s="184"/>
      <c r="E2" s="184"/>
      <c r="F2" s="184"/>
      <c r="G2" s="184"/>
      <c r="H2" s="184"/>
    </row>
    <row r="3" spans="1:8" s="140" customFormat="1" ht="6.75" customHeight="1">
      <c r="A3" s="141"/>
      <c r="B3" s="142"/>
      <c r="C3" s="142"/>
      <c r="D3" s="142"/>
      <c r="E3" s="142"/>
      <c r="F3" s="142"/>
      <c r="G3" s="142"/>
      <c r="H3" s="143"/>
    </row>
    <row r="4" spans="1:8" s="140" customFormat="1" ht="15">
      <c r="A4" s="185" t="s">
        <v>4</v>
      </c>
      <c r="B4" s="186"/>
      <c r="C4" s="186"/>
      <c r="D4" s="186"/>
      <c r="E4" s="186"/>
      <c r="F4" s="186"/>
      <c r="G4" s="186"/>
      <c r="H4" s="187"/>
    </row>
    <row r="5" spans="1:35" s="140" customFormat="1" ht="15">
      <c r="A5" s="191" t="s">
        <v>107</v>
      </c>
      <c r="B5" s="191"/>
      <c r="C5" s="191"/>
      <c r="D5" s="191"/>
      <c r="E5" s="191"/>
      <c r="F5" s="191"/>
      <c r="G5" s="191"/>
      <c r="H5" s="191"/>
      <c r="I5" s="144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</row>
    <row r="6" spans="1:35" s="140" customFormat="1" ht="15">
      <c r="A6" s="191" t="s">
        <v>148</v>
      </c>
      <c r="B6" s="191"/>
      <c r="C6" s="191"/>
      <c r="D6" s="191"/>
      <c r="E6" s="191"/>
      <c r="F6" s="191"/>
      <c r="G6" s="191"/>
      <c r="H6" s="191"/>
      <c r="I6" s="144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</row>
    <row r="7" spans="1:35" s="140" customFormat="1" ht="15">
      <c r="A7" s="191" t="s">
        <v>169</v>
      </c>
      <c r="B7" s="191"/>
      <c r="C7" s="191"/>
      <c r="D7" s="191"/>
      <c r="E7" s="191"/>
      <c r="F7" s="191"/>
      <c r="G7" s="191"/>
      <c r="H7" s="191"/>
      <c r="I7" s="144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</row>
    <row r="8" spans="1:35" s="140" customFormat="1" ht="14.25" customHeight="1">
      <c r="A8" s="192" t="s">
        <v>147</v>
      </c>
      <c r="B8" s="191"/>
      <c r="C8" s="191"/>
      <c r="D8" s="191"/>
      <c r="E8" s="191"/>
      <c r="F8" s="191"/>
      <c r="G8" s="191"/>
      <c r="H8" s="191"/>
      <c r="I8" s="146"/>
      <c r="J8" s="146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</row>
    <row r="9" spans="1:35" s="140" customFormat="1" ht="15">
      <c r="A9" s="170" t="s">
        <v>177</v>
      </c>
      <c r="B9" s="171"/>
      <c r="C9" s="172"/>
      <c r="D9" s="188" t="s">
        <v>108</v>
      </c>
      <c r="E9" s="189"/>
      <c r="F9" s="190"/>
      <c r="G9" s="193">
        <v>0.3056</v>
      </c>
      <c r="H9" s="194"/>
      <c r="I9" s="146"/>
      <c r="J9" s="146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</row>
    <row r="10" spans="1:35" s="140" customFormat="1" ht="15">
      <c r="A10" s="170" t="s">
        <v>178</v>
      </c>
      <c r="B10" s="171"/>
      <c r="C10" s="172"/>
      <c r="D10" s="188" t="s">
        <v>109</v>
      </c>
      <c r="E10" s="189"/>
      <c r="F10" s="190"/>
      <c r="G10" s="179">
        <f>H57</f>
        <v>155252.82000000004</v>
      </c>
      <c r="H10" s="180"/>
      <c r="I10" s="146"/>
      <c r="J10" s="146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</row>
    <row r="11" spans="1:35" s="140" customFormat="1" ht="15">
      <c r="A11" s="170"/>
      <c r="B11" s="171"/>
      <c r="C11" s="172"/>
      <c r="D11" s="188" t="s">
        <v>110</v>
      </c>
      <c r="E11" s="189"/>
      <c r="F11" s="190"/>
      <c r="G11" s="179">
        <v>150000</v>
      </c>
      <c r="H11" s="180"/>
      <c r="I11" s="146"/>
      <c r="J11" s="146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</row>
    <row r="12" spans="1:35" s="140" customFormat="1" ht="15">
      <c r="A12" s="170"/>
      <c r="B12" s="171"/>
      <c r="C12" s="172"/>
      <c r="D12" s="188" t="s">
        <v>111</v>
      </c>
      <c r="E12" s="189"/>
      <c r="F12" s="190"/>
      <c r="G12" s="179">
        <f>G10-G11</f>
        <v>5252.820000000036</v>
      </c>
      <c r="H12" s="180"/>
      <c r="I12" s="146"/>
      <c r="J12" s="146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</row>
    <row r="13" spans="1:8" s="140" customFormat="1" ht="15">
      <c r="A13" s="185" t="s">
        <v>179</v>
      </c>
      <c r="B13" s="186"/>
      <c r="C13" s="186"/>
      <c r="D13" s="186"/>
      <c r="E13" s="186"/>
      <c r="F13" s="186"/>
      <c r="G13" s="187"/>
      <c r="H13" s="166">
        <v>44232</v>
      </c>
    </row>
    <row r="14" spans="1:8" s="148" customFormat="1" ht="27" customHeight="1">
      <c r="A14" s="147" t="s">
        <v>0</v>
      </c>
      <c r="B14" s="147" t="s">
        <v>19</v>
      </c>
      <c r="C14" s="147" t="s">
        <v>1</v>
      </c>
      <c r="D14" s="147" t="s">
        <v>2</v>
      </c>
      <c r="E14" s="147" t="s">
        <v>73</v>
      </c>
      <c r="F14" s="147" t="s">
        <v>72</v>
      </c>
      <c r="G14" s="147" t="s">
        <v>74</v>
      </c>
      <c r="H14" s="147" t="s">
        <v>3</v>
      </c>
    </row>
    <row r="15" spans="1:8" ht="12.75">
      <c r="A15" s="71" t="s">
        <v>76</v>
      </c>
      <c r="B15" s="9"/>
      <c r="C15" s="72" t="s">
        <v>20</v>
      </c>
      <c r="D15" s="8"/>
      <c r="E15" s="8"/>
      <c r="F15" s="8"/>
      <c r="G15" s="8"/>
      <c r="H15" s="8"/>
    </row>
    <row r="16" spans="1:8" ht="12.75">
      <c r="A16" s="17" t="s">
        <v>77</v>
      </c>
      <c r="B16" s="10" t="s">
        <v>21</v>
      </c>
      <c r="C16" s="11" t="s">
        <v>22</v>
      </c>
      <c r="D16" s="16" t="s">
        <v>6</v>
      </c>
      <c r="E16" s="73">
        <f>'Memória de cálculo'!D7</f>
        <v>988.14</v>
      </c>
      <c r="F16" s="133">
        <v>3.6</v>
      </c>
      <c r="G16" s="133">
        <f>ROUND(((F16*$G$9)+F16),2)</f>
        <v>4.7</v>
      </c>
      <c r="H16" s="134">
        <f>ROUND((G16*E16),2)</f>
        <v>4644.26</v>
      </c>
    </row>
    <row r="17" spans="1:8" ht="38.25">
      <c r="A17" s="17" t="s">
        <v>78</v>
      </c>
      <c r="B17" s="12" t="s">
        <v>23</v>
      </c>
      <c r="C17" s="13" t="s">
        <v>24</v>
      </c>
      <c r="D17" s="16" t="s">
        <v>25</v>
      </c>
      <c r="E17" s="73">
        <f>'Memória de cálculo'!D8</f>
        <v>1</v>
      </c>
      <c r="F17" s="133">
        <v>1073.06</v>
      </c>
      <c r="G17" s="133">
        <f>ROUND(((F17*$G$9)+F17),2)</f>
        <v>1400.99</v>
      </c>
      <c r="H17" s="134">
        <f>ROUND((G17*E17),2)</f>
        <v>1400.99</v>
      </c>
    </row>
    <row r="18" spans="1:8" ht="12.75">
      <c r="A18" s="71"/>
      <c r="B18" s="9"/>
      <c r="C18" s="181" t="s">
        <v>120</v>
      </c>
      <c r="D18" s="182"/>
      <c r="E18" s="182"/>
      <c r="F18" s="182"/>
      <c r="G18" s="183"/>
      <c r="H18" s="135">
        <f>SUM(H16:H17)</f>
        <v>6045.25</v>
      </c>
    </row>
    <row r="19" spans="1:8" ht="12.75">
      <c r="A19" s="71" t="s">
        <v>79</v>
      </c>
      <c r="B19" s="9"/>
      <c r="C19" s="72" t="s">
        <v>8</v>
      </c>
      <c r="D19" s="8"/>
      <c r="E19" s="8"/>
      <c r="F19" s="8"/>
      <c r="G19" s="8"/>
      <c r="H19" s="14"/>
    </row>
    <row r="20" spans="1:8" ht="12.75">
      <c r="A20" s="17" t="s">
        <v>80</v>
      </c>
      <c r="B20" s="10" t="s">
        <v>26</v>
      </c>
      <c r="C20" s="11" t="s">
        <v>27</v>
      </c>
      <c r="D20" s="16" t="s">
        <v>6</v>
      </c>
      <c r="E20" s="73">
        <f>'Memória de cálculo'!D10</f>
        <v>863.9399999999999</v>
      </c>
      <c r="F20" s="133">
        <v>6.67</v>
      </c>
      <c r="G20" s="133">
        <f>ROUND(((F20*$G$9)+F20),2)</f>
        <v>8.71</v>
      </c>
      <c r="H20" s="134">
        <f>ROUND((G20*E20),2)</f>
        <v>7524.92</v>
      </c>
    </row>
    <row r="21" spans="1:8" ht="12.75">
      <c r="A21" s="71"/>
      <c r="B21" s="9"/>
      <c r="C21" s="181" t="s">
        <v>120</v>
      </c>
      <c r="D21" s="182"/>
      <c r="E21" s="182"/>
      <c r="F21" s="182"/>
      <c r="G21" s="183"/>
      <c r="H21" s="135">
        <f>SUM(H20)</f>
        <v>7524.92</v>
      </c>
    </row>
    <row r="22" spans="1:8" ht="12.75">
      <c r="A22" s="71" t="s">
        <v>83</v>
      </c>
      <c r="B22" s="8"/>
      <c r="C22" s="72" t="s">
        <v>13</v>
      </c>
      <c r="D22" s="8"/>
      <c r="E22" s="8"/>
      <c r="F22" s="8"/>
      <c r="G22" s="8"/>
      <c r="H22" s="14"/>
    </row>
    <row r="23" spans="1:8" ht="12.75">
      <c r="A23" s="17" t="s">
        <v>84</v>
      </c>
      <c r="B23" s="10" t="s">
        <v>44</v>
      </c>
      <c r="C23" s="13" t="s">
        <v>45</v>
      </c>
      <c r="D23" s="16" t="s">
        <v>7</v>
      </c>
      <c r="E23" s="73">
        <f>ROUND('Memória de cálculo'!D12,2)</f>
        <v>7.21</v>
      </c>
      <c r="F23" s="133">
        <v>40.77</v>
      </c>
      <c r="G23" s="133">
        <f>ROUND(((F23*$G$9)+F23),2)</f>
        <v>53.23</v>
      </c>
      <c r="H23" s="134">
        <f>ROUND((G23*E23),2)</f>
        <v>383.79</v>
      </c>
    </row>
    <row r="24" spans="1:8" ht="12.75">
      <c r="A24" s="17" t="s">
        <v>82</v>
      </c>
      <c r="B24" s="10" t="s">
        <v>60</v>
      </c>
      <c r="C24" s="11" t="s">
        <v>61</v>
      </c>
      <c r="D24" s="16" t="s">
        <v>6</v>
      </c>
      <c r="E24" s="73">
        <f>'Memória de cálculo'!D13</f>
        <v>24.04</v>
      </c>
      <c r="F24" s="133">
        <v>13.79</v>
      </c>
      <c r="G24" s="133">
        <f>ROUND(((F24*$G$9)+F24),2)</f>
        <v>18</v>
      </c>
      <c r="H24" s="134">
        <f>ROUND((G24*E24),2)</f>
        <v>432.72</v>
      </c>
    </row>
    <row r="25" spans="1:8" ht="12.75">
      <c r="A25" s="71"/>
      <c r="B25" s="9"/>
      <c r="C25" s="181" t="s">
        <v>120</v>
      </c>
      <c r="D25" s="182"/>
      <c r="E25" s="182"/>
      <c r="F25" s="182"/>
      <c r="G25" s="183"/>
      <c r="H25" s="135">
        <f>SUM(H23:H24)</f>
        <v>816.51</v>
      </c>
    </row>
    <row r="26" spans="1:8" ht="12.75">
      <c r="A26" s="71" t="s">
        <v>85</v>
      </c>
      <c r="B26" s="8"/>
      <c r="C26" s="72" t="s">
        <v>11</v>
      </c>
      <c r="D26" s="50"/>
      <c r="E26" s="8"/>
      <c r="F26" s="8"/>
      <c r="G26" s="8"/>
      <c r="H26" s="14"/>
    </row>
    <row r="27" spans="1:8" ht="12.75">
      <c r="A27" s="16" t="s">
        <v>86</v>
      </c>
      <c r="B27" s="10" t="s">
        <v>28</v>
      </c>
      <c r="C27" s="13" t="s">
        <v>29</v>
      </c>
      <c r="D27" s="74" t="s">
        <v>7</v>
      </c>
      <c r="E27" s="73">
        <f>'Memória de cálculo'!D16</f>
        <v>42.300000000000004</v>
      </c>
      <c r="F27" s="133">
        <v>98.65</v>
      </c>
      <c r="G27" s="133">
        <f>ROUND(((F27*$G$9)+F27),2)</f>
        <v>128.8</v>
      </c>
      <c r="H27" s="134">
        <f>ROUND((G27*E27),2)</f>
        <v>5448.24</v>
      </c>
    </row>
    <row r="28" spans="1:8" ht="38.25">
      <c r="A28" s="16" t="s">
        <v>87</v>
      </c>
      <c r="B28" s="10" t="s">
        <v>30</v>
      </c>
      <c r="C28" s="75" t="s">
        <v>31</v>
      </c>
      <c r="D28" s="74" t="s">
        <v>6</v>
      </c>
      <c r="E28" s="73">
        <f>'Memória de cálculo'!D17</f>
        <v>846</v>
      </c>
      <c r="F28" s="133">
        <v>65.7</v>
      </c>
      <c r="G28" s="133">
        <f>ROUND(((F28*$G$9)+F28),2)</f>
        <v>85.78</v>
      </c>
      <c r="H28" s="134">
        <f>ROUND((G28*E28),2)</f>
        <v>72569.88</v>
      </c>
    </row>
    <row r="29" spans="1:8" ht="12.75">
      <c r="A29" s="71"/>
      <c r="B29" s="9"/>
      <c r="C29" s="181" t="s">
        <v>120</v>
      </c>
      <c r="D29" s="182"/>
      <c r="E29" s="182"/>
      <c r="F29" s="182"/>
      <c r="G29" s="183"/>
      <c r="H29" s="135">
        <f>SUM(H27:H28)</f>
        <v>78018.12000000001</v>
      </c>
    </row>
    <row r="30" spans="1:8" ht="12.75">
      <c r="A30" s="71" t="s">
        <v>88</v>
      </c>
      <c r="B30" s="8"/>
      <c r="C30" s="72" t="s">
        <v>9</v>
      </c>
      <c r="D30" s="50"/>
      <c r="E30" s="8"/>
      <c r="F30" s="8"/>
      <c r="G30" s="8"/>
      <c r="H30" s="14"/>
    </row>
    <row r="31" spans="1:8" ht="25.5">
      <c r="A31" s="17" t="s">
        <v>81</v>
      </c>
      <c r="B31" s="10" t="s">
        <v>46</v>
      </c>
      <c r="C31" s="13" t="s">
        <v>47</v>
      </c>
      <c r="D31" s="74" t="s">
        <v>6</v>
      </c>
      <c r="E31" s="73">
        <f>'Memória de cálculo'!D19</f>
        <v>48.08</v>
      </c>
      <c r="F31" s="133">
        <v>72.97</v>
      </c>
      <c r="G31" s="133">
        <f>ROUND(((F31*$G$9)+F31),2)</f>
        <v>95.27</v>
      </c>
      <c r="H31" s="134">
        <f>ROUND((G31*E31),2)</f>
        <v>4580.58</v>
      </c>
    </row>
    <row r="32" spans="1:8" ht="25.5">
      <c r="A32" s="17" t="s">
        <v>89</v>
      </c>
      <c r="B32" s="10" t="s">
        <v>48</v>
      </c>
      <c r="C32" s="13" t="s">
        <v>49</v>
      </c>
      <c r="D32" s="74" t="s">
        <v>7</v>
      </c>
      <c r="E32" s="73">
        <f>'Memória de cálculo'!D20</f>
        <v>8.000000000000002</v>
      </c>
      <c r="F32" s="133">
        <v>120.97</v>
      </c>
      <c r="G32" s="133">
        <f>ROUND(((F32*$G$9)+F32),2)</f>
        <v>157.94</v>
      </c>
      <c r="H32" s="134">
        <f>ROUND((G32*E32),2)</f>
        <v>1263.52</v>
      </c>
    </row>
    <row r="33" spans="1:8" ht="25.5">
      <c r="A33" s="17" t="s">
        <v>90</v>
      </c>
      <c r="B33" s="10" t="s">
        <v>50</v>
      </c>
      <c r="C33" s="13" t="s">
        <v>51</v>
      </c>
      <c r="D33" s="74" t="s">
        <v>6</v>
      </c>
      <c r="E33" s="73">
        <f>'Memória de cálculo'!D21</f>
        <v>88.16</v>
      </c>
      <c r="F33" s="133">
        <v>41.25</v>
      </c>
      <c r="G33" s="133">
        <f>ROUND(((F33*$G$9)+F33),2)</f>
        <v>53.86</v>
      </c>
      <c r="H33" s="134">
        <f>ROUND((G33*E33),2)</f>
        <v>4748.3</v>
      </c>
    </row>
    <row r="34" spans="1:8" ht="12.75">
      <c r="A34" s="71"/>
      <c r="B34" s="9"/>
      <c r="C34" s="181" t="s">
        <v>120</v>
      </c>
      <c r="D34" s="182"/>
      <c r="E34" s="182"/>
      <c r="F34" s="182"/>
      <c r="G34" s="183"/>
      <c r="H34" s="135">
        <f>SUM(H31:H33)</f>
        <v>10592.400000000001</v>
      </c>
    </row>
    <row r="35" spans="1:8" ht="12.75">
      <c r="A35" s="71" t="s">
        <v>91</v>
      </c>
      <c r="B35" s="8"/>
      <c r="C35" s="72" t="s">
        <v>10</v>
      </c>
      <c r="D35" s="50"/>
      <c r="E35" s="8"/>
      <c r="F35" s="8"/>
      <c r="G35" s="8"/>
      <c r="H35" s="14"/>
    </row>
    <row r="36" spans="1:8" ht="25.5">
      <c r="A36" s="17" t="s">
        <v>92</v>
      </c>
      <c r="B36" s="10" t="s">
        <v>52</v>
      </c>
      <c r="C36" s="13" t="s">
        <v>53</v>
      </c>
      <c r="D36" s="16" t="s">
        <v>6</v>
      </c>
      <c r="E36" s="73">
        <f>'Memória de cálculo'!D23</f>
        <v>209.39</v>
      </c>
      <c r="F36" s="133">
        <v>5.27</v>
      </c>
      <c r="G36" s="133">
        <f>ROUND(((F36*$G$9)+F36),2)</f>
        <v>6.88</v>
      </c>
      <c r="H36" s="134">
        <f>ROUND((G36*E36),2)</f>
        <v>1440.6</v>
      </c>
    </row>
    <row r="37" spans="1:8" ht="12.75">
      <c r="A37" s="17" t="s">
        <v>93</v>
      </c>
      <c r="B37" s="10" t="s">
        <v>54</v>
      </c>
      <c r="C37" s="13" t="s">
        <v>55</v>
      </c>
      <c r="D37" s="16" t="s">
        <v>6</v>
      </c>
      <c r="E37" s="73">
        <f>'Memória de cálculo'!D24</f>
        <v>209.39</v>
      </c>
      <c r="F37" s="133">
        <v>27.51</v>
      </c>
      <c r="G37" s="133">
        <f>ROUND(((F37*$G$9)+F37),2)</f>
        <v>35.92</v>
      </c>
      <c r="H37" s="134">
        <f>ROUND((G37*E37),2)</f>
        <v>7521.29</v>
      </c>
    </row>
    <row r="38" spans="1:8" ht="12.75">
      <c r="A38" s="71"/>
      <c r="B38" s="9"/>
      <c r="C38" s="181" t="s">
        <v>120</v>
      </c>
      <c r="D38" s="182"/>
      <c r="E38" s="182"/>
      <c r="F38" s="182"/>
      <c r="G38" s="183"/>
      <c r="H38" s="135">
        <f>SUM(H36:H37)</f>
        <v>8961.89</v>
      </c>
    </row>
    <row r="39" spans="1:8" ht="12.75">
      <c r="A39" s="71" t="s">
        <v>94</v>
      </c>
      <c r="B39" s="8"/>
      <c r="C39" s="72" t="s">
        <v>12</v>
      </c>
      <c r="D39" s="50"/>
      <c r="E39" s="8"/>
      <c r="F39" s="8"/>
      <c r="G39" s="8"/>
      <c r="H39" s="14"/>
    </row>
    <row r="40" spans="1:8" ht="25.5">
      <c r="A40" s="17" t="s">
        <v>95</v>
      </c>
      <c r="B40" s="10" t="s">
        <v>58</v>
      </c>
      <c r="C40" s="13" t="s">
        <v>59</v>
      </c>
      <c r="D40" s="16" t="s">
        <v>6</v>
      </c>
      <c r="E40" s="73">
        <f>'Memória de cálculo'!D26</f>
        <v>209.39</v>
      </c>
      <c r="F40" s="133">
        <v>10.42</v>
      </c>
      <c r="G40" s="133">
        <f>ROUND(((F40*$G$9)+F40),2)</f>
        <v>13.6</v>
      </c>
      <c r="H40" s="134">
        <f>ROUND((G40*E40),2)</f>
        <v>2847.7</v>
      </c>
    </row>
    <row r="41" spans="1:8" ht="12.75">
      <c r="A41" s="17" t="s">
        <v>96</v>
      </c>
      <c r="B41" s="10" t="s">
        <v>32</v>
      </c>
      <c r="C41" s="13" t="s">
        <v>33</v>
      </c>
      <c r="D41" s="16" t="s">
        <v>6</v>
      </c>
      <c r="E41" s="73">
        <f>'Memória de cálculo'!D27</f>
        <v>640</v>
      </c>
      <c r="F41" s="133">
        <v>11.87</v>
      </c>
      <c r="G41" s="133">
        <f>ROUND(((F41*$G$9)+F41),2)</f>
        <v>15.5</v>
      </c>
      <c r="H41" s="134">
        <f>ROUND((G41*E41),2)</f>
        <v>9920</v>
      </c>
    </row>
    <row r="42" spans="1:8" ht="25.5">
      <c r="A42" s="17" t="s">
        <v>97</v>
      </c>
      <c r="B42" s="15" t="s">
        <v>34</v>
      </c>
      <c r="C42" s="13" t="s">
        <v>35</v>
      </c>
      <c r="D42" s="16" t="s">
        <v>71</v>
      </c>
      <c r="E42" s="73">
        <f>'Memória de cálculo'!D29</f>
        <v>443.05</v>
      </c>
      <c r="F42" s="133">
        <v>3.72</v>
      </c>
      <c r="G42" s="133">
        <f>ROUND(((F42*$G$9)+F42),2)</f>
        <v>4.86</v>
      </c>
      <c r="H42" s="134">
        <f>ROUND((G42*E42),2)</f>
        <v>2153.22</v>
      </c>
    </row>
    <row r="43" spans="1:8" ht="12.75">
      <c r="A43" s="71"/>
      <c r="B43" s="9"/>
      <c r="C43" s="181" t="s">
        <v>120</v>
      </c>
      <c r="D43" s="182"/>
      <c r="E43" s="182"/>
      <c r="F43" s="182"/>
      <c r="G43" s="183"/>
      <c r="H43" s="135">
        <f>SUM(H40:H42)</f>
        <v>14920.92</v>
      </c>
    </row>
    <row r="44" spans="1:8" ht="12.75">
      <c r="A44" s="71" t="s">
        <v>98</v>
      </c>
      <c r="B44" s="8"/>
      <c r="C44" s="72" t="s">
        <v>15</v>
      </c>
      <c r="D44" s="50"/>
      <c r="E44" s="8"/>
      <c r="F44" s="8"/>
      <c r="G44" s="8"/>
      <c r="H44" s="14"/>
    </row>
    <row r="45" spans="1:8" ht="51">
      <c r="A45" s="17" t="s">
        <v>99</v>
      </c>
      <c r="B45" s="10" t="s">
        <v>56</v>
      </c>
      <c r="C45" s="13" t="s">
        <v>57</v>
      </c>
      <c r="D45" s="74" t="s">
        <v>6</v>
      </c>
      <c r="E45" s="68">
        <f>'Memória de cálculo'!D32</f>
        <v>95.2</v>
      </c>
      <c r="F45" s="136">
        <v>127.93</v>
      </c>
      <c r="G45" s="133">
        <f>ROUND(((F45*$G$9)+F45),2)</f>
        <v>167.03</v>
      </c>
      <c r="H45" s="134">
        <f>ROUND((G45*E45),2)</f>
        <v>15901.26</v>
      </c>
    </row>
    <row r="46" spans="1:8" ht="25.5">
      <c r="A46" s="17" t="s">
        <v>100</v>
      </c>
      <c r="B46" s="10" t="s">
        <v>62</v>
      </c>
      <c r="C46" s="11" t="s">
        <v>63</v>
      </c>
      <c r="D46" s="74" t="s">
        <v>6</v>
      </c>
      <c r="E46" s="73">
        <f>'Memória de cálculo'!D33</f>
        <v>4.8</v>
      </c>
      <c r="F46" s="136">
        <v>343.6</v>
      </c>
      <c r="G46" s="133">
        <f>ROUND(((F46*$G$9)+F46),2)</f>
        <v>448.6</v>
      </c>
      <c r="H46" s="134">
        <f>ROUND((G46*E46),2)</f>
        <v>2153.28</v>
      </c>
    </row>
    <row r="47" spans="1:8" ht="12.75">
      <c r="A47" s="71"/>
      <c r="B47" s="9"/>
      <c r="C47" s="181" t="s">
        <v>120</v>
      </c>
      <c r="D47" s="182"/>
      <c r="E47" s="182"/>
      <c r="F47" s="182"/>
      <c r="G47" s="183"/>
      <c r="H47" s="135">
        <f>SUM(H45:H46)</f>
        <v>18054.54</v>
      </c>
    </row>
    <row r="48" spans="1:8" ht="12.75">
      <c r="A48" s="71" t="s">
        <v>101</v>
      </c>
      <c r="B48" s="8"/>
      <c r="C48" s="72" t="s">
        <v>16</v>
      </c>
      <c r="D48" s="50"/>
      <c r="E48" s="8"/>
      <c r="F48" s="8"/>
      <c r="G48" s="8"/>
      <c r="H48" s="14"/>
    </row>
    <row r="49" spans="1:8" ht="25.5">
      <c r="A49" s="16" t="s">
        <v>102</v>
      </c>
      <c r="B49" s="10" t="s">
        <v>36</v>
      </c>
      <c r="C49" s="13" t="s">
        <v>37</v>
      </c>
      <c r="D49" s="16" t="s">
        <v>17</v>
      </c>
      <c r="E49" s="76">
        <f>'Memória de cálculo'!D35</f>
        <v>2</v>
      </c>
      <c r="F49" s="133">
        <v>611.25</v>
      </c>
      <c r="G49" s="133">
        <f>ROUND(((F49*$G$9)+F49),2)</f>
        <v>798.05</v>
      </c>
      <c r="H49" s="134">
        <f>ROUND((G49*E49),2)</f>
        <v>1596.1</v>
      </c>
    </row>
    <row r="50" spans="1:8" ht="25.5">
      <c r="A50" s="16" t="s">
        <v>103</v>
      </c>
      <c r="B50" s="10" t="s">
        <v>38</v>
      </c>
      <c r="C50" s="13" t="s">
        <v>39</v>
      </c>
      <c r="D50" s="16" t="s">
        <v>18</v>
      </c>
      <c r="E50" s="76">
        <f>'Memória de cálculo'!D36</f>
        <v>1</v>
      </c>
      <c r="F50" s="133">
        <v>495</v>
      </c>
      <c r="G50" s="133">
        <f>ROUND(((F50*$G$9)+F50),2)</f>
        <v>646.27</v>
      </c>
      <c r="H50" s="134">
        <f>ROUND((G50*E50),2)</f>
        <v>646.27</v>
      </c>
    </row>
    <row r="51" spans="1:8" ht="25.5">
      <c r="A51" s="16" t="s">
        <v>104</v>
      </c>
      <c r="B51" s="10" t="s">
        <v>40</v>
      </c>
      <c r="C51" s="13" t="s">
        <v>41</v>
      </c>
      <c r="D51" s="77" t="s">
        <v>17</v>
      </c>
      <c r="E51" s="78">
        <f>'Memória de cálculo'!D37</f>
        <v>2</v>
      </c>
      <c r="F51" s="133">
        <v>1329.31</v>
      </c>
      <c r="G51" s="133">
        <f>ROUND(((F51*$G$9)+F51),2)</f>
        <v>1735.55</v>
      </c>
      <c r="H51" s="134">
        <f>ROUND((G51*E51),2)</f>
        <v>3471.1</v>
      </c>
    </row>
    <row r="52" spans="1:8" ht="12.75">
      <c r="A52" s="71"/>
      <c r="B52" s="9"/>
      <c r="C52" s="181" t="s">
        <v>120</v>
      </c>
      <c r="D52" s="182"/>
      <c r="E52" s="182"/>
      <c r="F52" s="182"/>
      <c r="G52" s="183"/>
      <c r="H52" s="135">
        <f>SUM(H49:H51)</f>
        <v>5713.469999999999</v>
      </c>
    </row>
    <row r="53" spans="1:8" ht="12.75">
      <c r="A53" s="71" t="s">
        <v>105</v>
      </c>
      <c r="B53" s="8"/>
      <c r="C53" s="72" t="s">
        <v>14</v>
      </c>
      <c r="D53" s="50"/>
      <c r="E53" s="8"/>
      <c r="F53" s="8"/>
      <c r="G53" s="8"/>
      <c r="H53" s="14"/>
    </row>
    <row r="54" spans="1:8" ht="12.75">
      <c r="A54" s="87" t="s">
        <v>106</v>
      </c>
      <c r="B54" s="10" t="s">
        <v>42</v>
      </c>
      <c r="C54" s="11" t="s">
        <v>43</v>
      </c>
      <c r="D54" s="74" t="s">
        <v>6</v>
      </c>
      <c r="E54" s="73">
        <v>863.94</v>
      </c>
      <c r="F54" s="133">
        <v>4.08</v>
      </c>
      <c r="G54" s="133">
        <f>ROUND(((F54*$G$9)+F54),2)</f>
        <v>5.33</v>
      </c>
      <c r="H54" s="134">
        <f>ROUND((G54*E54),2)</f>
        <v>4604.8</v>
      </c>
    </row>
    <row r="55" spans="1:8" ht="12.75">
      <c r="A55" s="71"/>
      <c r="B55" s="9"/>
      <c r="C55" s="181" t="s">
        <v>120</v>
      </c>
      <c r="D55" s="182"/>
      <c r="E55" s="182"/>
      <c r="F55" s="182"/>
      <c r="G55" s="183"/>
      <c r="H55" s="135">
        <f>SUM(H54)</f>
        <v>4604.8</v>
      </c>
    </row>
    <row r="56" spans="1:8" ht="12.75">
      <c r="A56" s="176"/>
      <c r="B56" s="177"/>
      <c r="C56" s="177"/>
      <c r="D56" s="177"/>
      <c r="E56" s="177"/>
      <c r="F56" s="177"/>
      <c r="G56" s="177"/>
      <c r="H56" s="178"/>
    </row>
    <row r="57" spans="1:8" ht="12.75">
      <c r="A57" s="195" t="s">
        <v>3</v>
      </c>
      <c r="B57" s="196"/>
      <c r="C57" s="196"/>
      <c r="D57" s="196"/>
      <c r="E57" s="196"/>
      <c r="F57" s="196"/>
      <c r="G57" s="197"/>
      <c r="H57" s="137">
        <f>SUM(H55,H52,H47,H43,H38,H34,H29,H25,H18,H21)</f>
        <v>155252.82000000004</v>
      </c>
    </row>
    <row r="58" spans="1:8" ht="12.75">
      <c r="A58" s="20"/>
      <c r="B58" s="21"/>
      <c r="C58" s="22"/>
      <c r="D58" s="23"/>
      <c r="E58" s="23"/>
      <c r="F58" s="23"/>
      <c r="G58" s="23"/>
      <c r="H58" s="24"/>
    </row>
    <row r="59" spans="1:8" ht="12.75">
      <c r="A59" s="19"/>
      <c r="B59" s="161"/>
      <c r="C59" s="91"/>
      <c r="D59" s="18"/>
      <c r="E59" s="18"/>
      <c r="F59" s="18"/>
      <c r="G59" s="18"/>
      <c r="H59" s="25"/>
    </row>
    <row r="60" spans="1:8" ht="12.75">
      <c r="A60" s="19"/>
      <c r="B60" s="161"/>
      <c r="C60" s="91"/>
      <c r="D60" s="18"/>
      <c r="E60" s="18"/>
      <c r="F60" s="18"/>
      <c r="G60" s="18"/>
      <c r="H60" s="25"/>
    </row>
    <row r="61" spans="1:8" ht="12.75">
      <c r="A61" s="19"/>
      <c r="B61" s="161"/>
      <c r="C61" s="91"/>
      <c r="D61" s="18"/>
      <c r="E61" s="18"/>
      <c r="F61" s="18"/>
      <c r="G61" s="18"/>
      <c r="H61" s="25"/>
    </row>
    <row r="62" spans="1:8" ht="12.75">
      <c r="A62" s="19"/>
      <c r="B62" s="161"/>
      <c r="C62" s="91"/>
      <c r="D62" s="18"/>
      <c r="E62" s="18"/>
      <c r="F62" s="18"/>
      <c r="G62" s="18"/>
      <c r="H62" s="25"/>
    </row>
    <row r="63" spans="1:8" ht="12.75">
      <c r="A63" s="19"/>
      <c r="B63" s="161"/>
      <c r="C63" s="91"/>
      <c r="D63" s="18"/>
      <c r="E63" s="18"/>
      <c r="F63" s="18"/>
      <c r="G63" s="18"/>
      <c r="H63" s="25"/>
    </row>
    <row r="64" spans="1:8" ht="12.75">
      <c r="A64" s="19"/>
      <c r="B64" s="161"/>
      <c r="C64" s="91"/>
      <c r="D64" s="18"/>
      <c r="E64" s="18"/>
      <c r="F64" s="18"/>
      <c r="G64" s="18"/>
      <c r="H64" s="25"/>
    </row>
    <row r="65" spans="1:8" ht="12.75">
      <c r="A65" s="19"/>
      <c r="B65" s="161"/>
      <c r="C65" s="91"/>
      <c r="D65" s="18"/>
      <c r="E65" s="18"/>
      <c r="F65" s="18"/>
      <c r="G65" s="18"/>
      <c r="H65" s="25"/>
    </row>
    <row r="66" spans="1:8" ht="12.75">
      <c r="A66" s="19"/>
      <c r="B66" s="174" t="s">
        <v>153</v>
      </c>
      <c r="C66" s="174"/>
      <c r="D66" s="175" t="s">
        <v>155</v>
      </c>
      <c r="E66" s="175"/>
      <c r="F66" s="175"/>
      <c r="G66" s="175"/>
      <c r="H66" s="25"/>
    </row>
    <row r="67" spans="1:8" ht="12.75">
      <c r="A67" s="19"/>
      <c r="B67" s="173" t="s">
        <v>168</v>
      </c>
      <c r="C67" s="173"/>
      <c r="D67" s="173" t="s">
        <v>176</v>
      </c>
      <c r="E67" s="173"/>
      <c r="F67" s="173"/>
      <c r="G67" s="173"/>
      <c r="H67" s="25"/>
    </row>
    <row r="68" spans="1:8" ht="12.75">
      <c r="A68" s="19"/>
      <c r="B68" s="173" t="s">
        <v>170</v>
      </c>
      <c r="C68" s="173"/>
      <c r="D68" s="173" t="s">
        <v>154</v>
      </c>
      <c r="E68" s="173"/>
      <c r="F68" s="173"/>
      <c r="G68" s="173"/>
      <c r="H68" s="25"/>
    </row>
    <row r="69" spans="1:8" ht="12.75">
      <c r="A69" s="80"/>
      <c r="B69" s="81"/>
      <c r="C69" s="81"/>
      <c r="D69" s="81"/>
      <c r="E69" s="81"/>
      <c r="F69" s="81"/>
      <c r="G69" s="81"/>
      <c r="H69" s="82"/>
    </row>
    <row r="70" spans="1:8" ht="12.75">
      <c r="A70" s="80"/>
      <c r="B70" s="81"/>
      <c r="C70" s="81"/>
      <c r="D70" s="81"/>
      <c r="E70" s="81"/>
      <c r="F70" s="81"/>
      <c r="G70" s="81"/>
      <c r="H70" s="82"/>
    </row>
    <row r="71" spans="1:8" ht="12.75">
      <c r="A71" s="80"/>
      <c r="B71" s="81"/>
      <c r="C71" s="81"/>
      <c r="D71" s="81"/>
      <c r="E71" s="81"/>
      <c r="F71" s="81"/>
      <c r="G71" s="81"/>
      <c r="H71" s="82"/>
    </row>
    <row r="72" spans="1:8" ht="12.75">
      <c r="A72" s="80"/>
      <c r="B72" s="81"/>
      <c r="C72" s="81"/>
      <c r="D72" s="81"/>
      <c r="E72" s="81"/>
      <c r="F72" s="81"/>
      <c r="G72" s="81"/>
      <c r="H72" s="82"/>
    </row>
    <row r="73" spans="1:8" ht="12.75">
      <c r="A73" s="80"/>
      <c r="B73" s="81"/>
      <c r="C73" s="81"/>
      <c r="D73" s="81"/>
      <c r="E73" s="81"/>
      <c r="F73" s="81"/>
      <c r="G73" s="81"/>
      <c r="H73" s="82"/>
    </row>
    <row r="74" spans="1:8" ht="12.75">
      <c r="A74" s="80"/>
      <c r="B74" s="81"/>
      <c r="C74" s="81"/>
      <c r="D74" s="81"/>
      <c r="E74" s="81"/>
      <c r="F74" s="81"/>
      <c r="G74" s="81"/>
      <c r="H74" s="82"/>
    </row>
    <row r="75" spans="1:8" ht="12.75">
      <c r="A75" s="83"/>
      <c r="B75" s="79"/>
      <c r="C75" s="79"/>
      <c r="D75" s="79"/>
      <c r="E75" s="79"/>
      <c r="F75" s="79"/>
      <c r="G75" s="79"/>
      <c r="H75" s="84"/>
    </row>
  </sheetData>
  <sheetProtection/>
  <mergeCells count="38">
    <mergeCell ref="G10:H10"/>
    <mergeCell ref="D9:F9"/>
    <mergeCell ref="D10:F10"/>
    <mergeCell ref="A57:G57"/>
    <mergeCell ref="C47:G47"/>
    <mergeCell ref="C52:G52"/>
    <mergeCell ref="C55:G55"/>
    <mergeCell ref="A56:H56"/>
    <mergeCell ref="A5:H5"/>
    <mergeCell ref="A6:H6"/>
    <mergeCell ref="A7:H7"/>
    <mergeCell ref="A8:H8"/>
    <mergeCell ref="G9:H9"/>
    <mergeCell ref="C43:G43"/>
    <mergeCell ref="G11:H11"/>
    <mergeCell ref="C25:G25"/>
    <mergeCell ref="C29:G29"/>
    <mergeCell ref="A10:C10"/>
    <mergeCell ref="A1:H1"/>
    <mergeCell ref="G12:H12"/>
    <mergeCell ref="C18:G18"/>
    <mergeCell ref="C21:G21"/>
    <mergeCell ref="A2:H2"/>
    <mergeCell ref="A13:G13"/>
    <mergeCell ref="A4:H4"/>
    <mergeCell ref="D11:F11"/>
    <mergeCell ref="D12:F12"/>
    <mergeCell ref="A9:C9"/>
    <mergeCell ref="A11:C11"/>
    <mergeCell ref="A12:C12"/>
    <mergeCell ref="B67:C67"/>
    <mergeCell ref="B68:C68"/>
    <mergeCell ref="B66:C66"/>
    <mergeCell ref="D67:G67"/>
    <mergeCell ref="D68:G68"/>
    <mergeCell ref="D66:G66"/>
    <mergeCell ref="C34:G34"/>
    <mergeCell ref="C38:G38"/>
  </mergeCells>
  <printOptions horizontalCentered="1"/>
  <pageMargins left="0.5905511811023623" right="0.3937007874015748" top="1.3779527559055118" bottom="0.5905511811023623" header="0" footer="0"/>
  <pageSetup fitToHeight="0" fitToWidth="1" horizontalDpi="600" verticalDpi="600" orientation="portrait" paperSize="9" scale="69" r:id="rId4"/>
  <rowBreaks count="1" manualBreakCount="1">
    <brk id="52" max="7" man="1"/>
  </rowBreaks>
  <drawing r:id="rId3"/>
  <legacyDrawing r:id="rId2"/>
  <oleObjects>
    <oleObject progId="Word.Picture.8" shapeId="205161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6"/>
  <sheetViews>
    <sheetView view="pageBreakPreview" zoomScale="85" zoomScaleSheetLayoutView="85" zoomScalePageLayoutView="0" workbookViewId="0" topLeftCell="A7">
      <selection activeCell="B14" sqref="B14"/>
    </sheetView>
  </sheetViews>
  <sheetFormatPr defaultColWidth="8.7109375" defaultRowHeight="12.75"/>
  <cols>
    <col min="1" max="1" width="5.140625" style="93" bestFit="1" customWidth="1"/>
    <col min="2" max="2" width="50.7109375" style="93" customWidth="1"/>
    <col min="3" max="3" width="58.57421875" style="149" customWidth="1"/>
    <col min="4" max="4" width="8.00390625" style="93" bestFit="1" customWidth="1"/>
    <col min="5" max="5" width="3.8515625" style="93" bestFit="1" customWidth="1"/>
    <col min="6" max="16384" width="8.7109375" style="93" customWidth="1"/>
  </cols>
  <sheetData>
    <row r="1" spans="1:5" s="70" customFormat="1" ht="21" customHeight="1">
      <c r="A1" s="198" t="s">
        <v>64</v>
      </c>
      <c r="B1" s="199"/>
      <c r="C1" s="199"/>
      <c r="D1" s="199"/>
      <c r="E1" s="200"/>
    </row>
    <row r="2" spans="1:35" s="70" customFormat="1" ht="23.25" customHeight="1">
      <c r="A2" s="206" t="s">
        <v>148</v>
      </c>
      <c r="B2" s="206"/>
      <c r="C2" s="206"/>
      <c r="D2" s="206"/>
      <c r="E2" s="206"/>
      <c r="F2" s="85"/>
      <c r="G2" s="85"/>
      <c r="H2" s="85"/>
      <c r="I2" s="125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</row>
    <row r="3" spans="1:35" s="70" customFormat="1" ht="23.25" customHeight="1">
      <c r="A3" s="206" t="s">
        <v>172</v>
      </c>
      <c r="B3" s="206"/>
      <c r="C3" s="206"/>
      <c r="D3" s="206"/>
      <c r="E3" s="206"/>
      <c r="F3" s="85"/>
      <c r="G3" s="85"/>
      <c r="H3" s="85"/>
      <c r="I3" s="125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</row>
    <row r="4" spans="1:5" s="70" customFormat="1" ht="12.75">
      <c r="A4" s="210" t="s">
        <v>182</v>
      </c>
      <c r="B4" s="211"/>
      <c r="C4" s="211"/>
      <c r="D4" s="211"/>
      <c r="E4" s="212"/>
    </row>
    <row r="5" spans="1:5" s="70" customFormat="1" ht="12.75">
      <c r="A5" s="1" t="s">
        <v>0</v>
      </c>
      <c r="B5" s="4" t="s">
        <v>1</v>
      </c>
      <c r="C5" s="4" t="s">
        <v>65</v>
      </c>
      <c r="D5" s="201" t="s">
        <v>3</v>
      </c>
      <c r="E5" s="202"/>
    </row>
    <row r="6" spans="1:5" ht="12">
      <c r="A6" s="128" t="s">
        <v>76</v>
      </c>
      <c r="B6" s="151" t="s">
        <v>20</v>
      </c>
      <c r="C6" s="153"/>
      <c r="D6" s="94"/>
      <c r="E6" s="95"/>
    </row>
    <row r="7" spans="1:5" ht="12">
      <c r="A7" s="129" t="s">
        <v>77</v>
      </c>
      <c r="B7" s="2" t="s">
        <v>22</v>
      </c>
      <c r="C7" s="154" t="s">
        <v>161</v>
      </c>
      <c r="D7" s="5">
        <f>38.3*25.8</f>
        <v>988.14</v>
      </c>
      <c r="E7" s="6" t="s">
        <v>6</v>
      </c>
    </row>
    <row r="8" spans="1:5" ht="36">
      <c r="A8" s="129" t="s">
        <v>78</v>
      </c>
      <c r="B8" s="3" t="s">
        <v>24</v>
      </c>
      <c r="C8" s="154"/>
      <c r="D8" s="5">
        <v>1</v>
      </c>
      <c r="E8" s="6" t="s">
        <v>150</v>
      </c>
    </row>
    <row r="9" spans="1:5" ht="12">
      <c r="A9" s="128" t="s">
        <v>79</v>
      </c>
      <c r="B9" s="151" t="s">
        <v>8</v>
      </c>
      <c r="C9" s="155"/>
      <c r="D9" s="96"/>
      <c r="E9" s="97"/>
    </row>
    <row r="10" spans="1:5" ht="12">
      <c r="A10" s="129" t="s">
        <v>80</v>
      </c>
      <c r="B10" s="2" t="s">
        <v>27</v>
      </c>
      <c r="C10" s="154" t="s">
        <v>162</v>
      </c>
      <c r="D10" s="5">
        <f>36.3*23.8</f>
        <v>863.9399999999999</v>
      </c>
      <c r="E10" s="6" t="s">
        <v>6</v>
      </c>
    </row>
    <row r="11" spans="1:5" ht="12">
      <c r="A11" s="128" t="s">
        <v>83</v>
      </c>
      <c r="B11" s="151" t="s">
        <v>13</v>
      </c>
      <c r="C11" s="155"/>
      <c r="D11" s="96"/>
      <c r="E11" s="97"/>
    </row>
    <row r="12" spans="1:5" ht="12">
      <c r="A12" s="129" t="s">
        <v>84</v>
      </c>
      <c r="B12" s="3" t="s">
        <v>45</v>
      </c>
      <c r="C12" s="154" t="s">
        <v>163</v>
      </c>
      <c r="D12" s="107">
        <f>(36.3+23.8)*2*0.2*0.3</f>
        <v>7.212</v>
      </c>
      <c r="E12" s="106" t="s">
        <v>7</v>
      </c>
    </row>
    <row r="13" spans="1:5" ht="12">
      <c r="A13" s="129" t="s">
        <v>82</v>
      </c>
      <c r="B13" s="2" t="s">
        <v>61</v>
      </c>
      <c r="C13" s="154" t="s">
        <v>164</v>
      </c>
      <c r="D13" s="107">
        <f>(36.3+23.8)*2*0.2</f>
        <v>24.04</v>
      </c>
      <c r="E13" s="106" t="s">
        <v>6</v>
      </c>
    </row>
    <row r="14" spans="1:5" ht="12">
      <c r="A14" s="129"/>
      <c r="B14" s="150"/>
      <c r="C14" s="154"/>
      <c r="D14" s="107"/>
      <c r="E14" s="106"/>
    </row>
    <row r="15" spans="1:5" ht="12">
      <c r="A15" s="128" t="s">
        <v>85</v>
      </c>
      <c r="B15" s="151" t="s">
        <v>11</v>
      </c>
      <c r="C15" s="155"/>
      <c r="D15" s="96"/>
      <c r="E15" s="97"/>
    </row>
    <row r="16" spans="1:5" ht="12">
      <c r="A16" s="127" t="s">
        <v>86</v>
      </c>
      <c r="B16" s="3" t="s">
        <v>29</v>
      </c>
      <c r="C16" s="154" t="s">
        <v>160</v>
      </c>
      <c r="D16" s="107">
        <f>36*23.5*0.05</f>
        <v>42.300000000000004</v>
      </c>
      <c r="E16" s="106" t="s">
        <v>7</v>
      </c>
    </row>
    <row r="17" spans="1:5" ht="36" customHeight="1">
      <c r="A17" s="127" t="s">
        <v>87</v>
      </c>
      <c r="B17" s="152" t="s">
        <v>31</v>
      </c>
      <c r="C17" s="154" t="s">
        <v>159</v>
      </c>
      <c r="D17" s="107">
        <f>36*23.5</f>
        <v>846</v>
      </c>
      <c r="E17" s="106" t="s">
        <v>6</v>
      </c>
    </row>
    <row r="18" spans="1:5" ht="12">
      <c r="A18" s="128" t="s">
        <v>88</v>
      </c>
      <c r="B18" s="151" t="s">
        <v>9</v>
      </c>
      <c r="C18" s="155"/>
      <c r="D18" s="96"/>
      <c r="E18" s="97"/>
    </row>
    <row r="19" spans="1:5" ht="24">
      <c r="A19" s="129" t="s">
        <v>81</v>
      </c>
      <c r="B19" s="3" t="s">
        <v>47</v>
      </c>
      <c r="C19" s="154" t="s">
        <v>158</v>
      </c>
      <c r="D19" s="107">
        <f>(36.3+23.8)*2*0.4</f>
        <v>48.08</v>
      </c>
      <c r="E19" s="106" t="s">
        <v>6</v>
      </c>
    </row>
    <row r="20" spans="1:5" ht="24">
      <c r="A20" s="129" t="s">
        <v>89</v>
      </c>
      <c r="B20" s="3" t="s">
        <v>49</v>
      </c>
      <c r="C20" s="154" t="s">
        <v>157</v>
      </c>
      <c r="D20" s="5">
        <f>0.2*0.8*50</f>
        <v>8.000000000000002</v>
      </c>
      <c r="E20" s="6" t="s">
        <v>6</v>
      </c>
    </row>
    <row r="21" spans="1:5" ht="24">
      <c r="A21" s="129" t="s">
        <v>90</v>
      </c>
      <c r="B21" s="3" t="s">
        <v>51</v>
      </c>
      <c r="C21" s="154" t="s">
        <v>156</v>
      </c>
      <c r="D21" s="107">
        <f>((36.3+23.8)*2*0.8)-8</f>
        <v>88.16</v>
      </c>
      <c r="E21" s="106" t="s">
        <v>6</v>
      </c>
    </row>
    <row r="22" spans="1:5" ht="12">
      <c r="A22" s="128" t="s">
        <v>91</v>
      </c>
      <c r="B22" s="151" t="s">
        <v>10</v>
      </c>
      <c r="C22" s="155"/>
      <c r="D22" s="96"/>
      <c r="E22" s="97"/>
    </row>
    <row r="23" spans="1:5" ht="12">
      <c r="A23" s="129" t="s">
        <v>92</v>
      </c>
      <c r="B23" s="3" t="s">
        <v>53</v>
      </c>
      <c r="C23" s="154" t="s">
        <v>66</v>
      </c>
      <c r="D23" s="105">
        <f>((36+23.5+36+23.5)*0.8)+((36.3+23.8+36.3+23.8)*0.95)</f>
        <v>209.39</v>
      </c>
      <c r="E23" s="6" t="s">
        <v>6</v>
      </c>
    </row>
    <row r="24" spans="1:5" ht="12">
      <c r="A24" s="129" t="s">
        <v>93</v>
      </c>
      <c r="B24" s="3" t="s">
        <v>55</v>
      </c>
      <c r="C24" s="154" t="s">
        <v>66</v>
      </c>
      <c r="D24" s="105">
        <f>((36+23.5+36+23.5)*0.8)+((36.3+23.8+36.3+23.8)*0.95)</f>
        <v>209.39</v>
      </c>
      <c r="E24" s="6" t="s">
        <v>6</v>
      </c>
    </row>
    <row r="25" spans="1:5" ht="12">
      <c r="A25" s="128" t="s">
        <v>94</v>
      </c>
      <c r="B25" s="151" t="s">
        <v>12</v>
      </c>
      <c r="C25" s="155"/>
      <c r="D25" s="96"/>
      <c r="E25" s="97"/>
    </row>
    <row r="26" spans="1:5" ht="12">
      <c r="A26" s="129" t="s">
        <v>95</v>
      </c>
      <c r="B26" s="3" t="s">
        <v>59</v>
      </c>
      <c r="C26" s="154" t="s">
        <v>66</v>
      </c>
      <c r="D26" s="105">
        <f>((36+23.5+36+23.5)*0.8)+((36.3+23.8+36.3+23.8)*0.95)</f>
        <v>209.39</v>
      </c>
      <c r="E26" s="6" t="s">
        <v>6</v>
      </c>
    </row>
    <row r="27" spans="1:5" ht="12">
      <c r="A27" s="129" t="s">
        <v>96</v>
      </c>
      <c r="B27" s="3" t="s">
        <v>33</v>
      </c>
      <c r="C27" s="156" t="s">
        <v>67</v>
      </c>
      <c r="D27" s="5">
        <f>32*20</f>
        <v>640</v>
      </c>
      <c r="E27" s="98" t="s">
        <v>6</v>
      </c>
    </row>
    <row r="28" spans="1:5" ht="12">
      <c r="A28" s="207" t="s">
        <v>97</v>
      </c>
      <c r="B28" s="203" t="s">
        <v>35</v>
      </c>
      <c r="C28" s="157" t="s">
        <v>68</v>
      </c>
      <c r="D28" s="99"/>
      <c r="E28" s="100"/>
    </row>
    <row r="29" spans="1:5" ht="12">
      <c r="A29" s="208"/>
      <c r="B29" s="204"/>
      <c r="C29" s="92" t="s">
        <v>69</v>
      </c>
      <c r="D29" s="101">
        <f>72+184.5+186.55</f>
        <v>443.05</v>
      </c>
      <c r="E29" s="102" t="s">
        <v>71</v>
      </c>
    </row>
    <row r="30" spans="1:5" ht="12">
      <c r="A30" s="209"/>
      <c r="B30" s="205"/>
      <c r="C30" s="158" t="s">
        <v>70</v>
      </c>
      <c r="D30" s="103"/>
      <c r="E30" s="104"/>
    </row>
    <row r="31" spans="1:5" ht="12">
      <c r="A31" s="128" t="s">
        <v>98</v>
      </c>
      <c r="B31" s="151" t="s">
        <v>15</v>
      </c>
      <c r="C31" s="155"/>
      <c r="D31" s="96"/>
      <c r="E31" s="97"/>
    </row>
    <row r="32" spans="1:5" ht="36">
      <c r="A32" s="129" t="s">
        <v>99</v>
      </c>
      <c r="B32" s="3" t="s">
        <v>57</v>
      </c>
      <c r="C32" s="154" t="s">
        <v>75</v>
      </c>
      <c r="D32" s="105">
        <f>((23.8*2)*2)</f>
        <v>95.2</v>
      </c>
      <c r="E32" s="106" t="s">
        <v>6</v>
      </c>
    </row>
    <row r="33" spans="1:5" ht="12">
      <c r="A33" s="129" t="s">
        <v>100</v>
      </c>
      <c r="B33" s="2" t="s">
        <v>63</v>
      </c>
      <c r="C33" s="154" t="s">
        <v>151</v>
      </c>
      <c r="D33" s="107">
        <f>2*1.2*2</f>
        <v>4.8</v>
      </c>
      <c r="E33" s="106" t="s">
        <v>6</v>
      </c>
    </row>
    <row r="34" spans="1:5" ht="12">
      <c r="A34" s="128" t="s">
        <v>101</v>
      </c>
      <c r="B34" s="151" t="s">
        <v>16</v>
      </c>
      <c r="C34" s="155"/>
      <c r="D34" s="96"/>
      <c r="E34" s="97"/>
    </row>
    <row r="35" spans="1:6" ht="12">
      <c r="A35" s="127" t="s">
        <v>102</v>
      </c>
      <c r="B35" s="3" t="s">
        <v>37</v>
      </c>
      <c r="C35" s="163" t="s">
        <v>166</v>
      </c>
      <c r="D35" s="107">
        <v>2</v>
      </c>
      <c r="E35" s="106" t="s">
        <v>150</v>
      </c>
      <c r="F35" s="162" t="s">
        <v>165</v>
      </c>
    </row>
    <row r="36" spans="1:6" ht="24">
      <c r="A36" s="127" t="s">
        <v>103</v>
      </c>
      <c r="B36" s="3" t="s">
        <v>39</v>
      </c>
      <c r="C36" s="164">
        <v>1</v>
      </c>
      <c r="D36" s="107">
        <v>1</v>
      </c>
      <c r="E36" s="106" t="s">
        <v>150</v>
      </c>
      <c r="F36" s="162" t="s">
        <v>165</v>
      </c>
    </row>
    <row r="37" spans="1:6" ht="24">
      <c r="A37" s="127" t="s">
        <v>104</v>
      </c>
      <c r="B37" s="3" t="s">
        <v>41</v>
      </c>
      <c r="C37" s="165" t="s">
        <v>167</v>
      </c>
      <c r="D37" s="107">
        <v>2</v>
      </c>
      <c r="E37" s="106" t="s">
        <v>150</v>
      </c>
      <c r="F37" s="162" t="s">
        <v>165</v>
      </c>
    </row>
    <row r="38" spans="1:5" ht="12">
      <c r="A38" s="128" t="s">
        <v>105</v>
      </c>
      <c r="B38" s="151" t="s">
        <v>14</v>
      </c>
      <c r="C38" s="155"/>
      <c r="D38" s="96"/>
      <c r="E38" s="97"/>
    </row>
    <row r="39" spans="1:5" ht="12">
      <c r="A39" s="130" t="s">
        <v>106</v>
      </c>
      <c r="B39" s="3" t="s">
        <v>43</v>
      </c>
      <c r="C39" s="154" t="s">
        <v>152</v>
      </c>
      <c r="D39" s="5">
        <f>36.3*23.8</f>
        <v>863.9399999999999</v>
      </c>
      <c r="E39" s="6" t="s">
        <v>6</v>
      </c>
    </row>
    <row r="40" spans="1:9" ht="12.75" customHeight="1">
      <c r="A40" s="108"/>
      <c r="B40" s="109"/>
      <c r="C40" s="110"/>
      <c r="D40" s="111"/>
      <c r="E40" s="112"/>
      <c r="F40" s="113"/>
      <c r="G40" s="113"/>
      <c r="H40" s="114"/>
      <c r="I40" s="115"/>
    </row>
    <row r="41" spans="1:9" ht="12.75" customHeight="1">
      <c r="A41" s="116"/>
      <c r="B41" s="119"/>
      <c r="C41" s="131"/>
      <c r="D41" s="113"/>
      <c r="E41" s="132"/>
      <c r="F41" s="113"/>
      <c r="G41" s="113"/>
      <c r="H41" s="114"/>
      <c r="I41" s="115"/>
    </row>
    <row r="42" spans="1:9" ht="12.75" customHeight="1">
      <c r="A42" s="116"/>
      <c r="B42" s="119"/>
      <c r="C42" s="131"/>
      <c r="D42" s="113"/>
      <c r="E42" s="132"/>
      <c r="F42" s="113"/>
      <c r="G42" s="113"/>
      <c r="H42" s="114"/>
      <c r="I42" s="115"/>
    </row>
    <row r="43" spans="1:9" ht="12.75" customHeight="1">
      <c r="A43" s="116"/>
      <c r="B43" s="117"/>
      <c r="C43" s="159"/>
      <c r="D43" s="113"/>
      <c r="E43" s="118"/>
      <c r="F43" s="119"/>
      <c r="G43" s="113"/>
      <c r="H43" s="114"/>
      <c r="I43" s="115"/>
    </row>
    <row r="44" spans="1:9" ht="15" customHeight="1">
      <c r="A44" s="116"/>
      <c r="B44" s="120" t="s">
        <v>168</v>
      </c>
      <c r="C44" s="159"/>
      <c r="D44" s="113"/>
      <c r="E44" s="118"/>
      <c r="F44" s="120"/>
      <c r="G44" s="113"/>
      <c r="H44" s="114"/>
      <c r="I44" s="115"/>
    </row>
    <row r="45" spans="1:9" ht="25.5" customHeight="1">
      <c r="A45" s="121"/>
      <c r="B45" s="122" t="s">
        <v>171</v>
      </c>
      <c r="C45" s="160"/>
      <c r="D45" s="123"/>
      <c r="E45" s="124"/>
      <c r="F45" s="120"/>
      <c r="G45" s="113"/>
      <c r="H45" s="114"/>
      <c r="I45" s="115"/>
    </row>
    <row r="46" spans="6:9" ht="12">
      <c r="F46" s="115"/>
      <c r="G46" s="115"/>
      <c r="H46" s="115"/>
      <c r="I46" s="115"/>
    </row>
  </sheetData>
  <sheetProtection/>
  <mergeCells count="7">
    <mergeCell ref="A1:E1"/>
    <mergeCell ref="D5:E5"/>
    <mergeCell ref="B28:B30"/>
    <mergeCell ref="A2:E2"/>
    <mergeCell ref="A3:E3"/>
    <mergeCell ref="A28:A30"/>
    <mergeCell ref="A4:E4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68" r:id="rId1"/>
  <rowBreaks count="1" manualBreakCount="1">
    <brk id="45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SheetLayoutView="100" zoomScalePageLayoutView="0" workbookViewId="0" topLeftCell="A1">
      <selection activeCell="A39" sqref="A39"/>
    </sheetView>
  </sheetViews>
  <sheetFormatPr defaultColWidth="9.140625" defaultRowHeight="12.75"/>
  <cols>
    <col min="1" max="1" width="39.28125" style="0" customWidth="1"/>
    <col min="2" max="2" width="15.8515625" style="0" bestFit="1" customWidth="1"/>
    <col min="3" max="3" width="14.57421875" style="0" customWidth="1"/>
    <col min="4" max="4" width="13.7109375" style="0" bestFit="1" customWidth="1"/>
    <col min="5" max="5" width="14.8515625" style="0" bestFit="1" customWidth="1"/>
    <col min="6" max="6" width="13.7109375" style="0" bestFit="1" customWidth="1"/>
    <col min="7" max="7" width="14.8515625" style="0" customWidth="1"/>
  </cols>
  <sheetData>
    <row r="1" spans="1:9" ht="18.75" customHeight="1" thickBot="1">
      <c r="A1" s="234" t="s">
        <v>119</v>
      </c>
      <c r="B1" s="235"/>
      <c r="C1" s="235"/>
      <c r="D1" s="235"/>
      <c r="E1" s="235"/>
      <c r="F1" s="235"/>
      <c r="G1" s="236"/>
      <c r="H1" s="27"/>
      <c r="I1" s="28"/>
    </row>
    <row r="2" spans="1:9" ht="15.75" thickBot="1">
      <c r="A2" s="237" t="s">
        <v>112</v>
      </c>
      <c r="B2" s="238"/>
      <c r="C2" s="238"/>
      <c r="D2" s="238"/>
      <c r="E2" s="238"/>
      <c r="F2" s="238"/>
      <c r="G2" s="239"/>
      <c r="H2" s="29"/>
      <c r="I2" s="28"/>
    </row>
    <row r="3" spans="1:9" ht="8.25" customHeight="1">
      <c r="A3" s="240"/>
      <c r="B3" s="241"/>
      <c r="C3" s="241"/>
      <c r="D3" s="241"/>
      <c r="E3" s="241"/>
      <c r="F3" s="241"/>
      <c r="G3" s="242"/>
      <c r="H3" s="29"/>
      <c r="I3" s="28"/>
    </row>
    <row r="4" spans="1:9" ht="12.75" customHeight="1">
      <c r="A4" s="224" t="s">
        <v>181</v>
      </c>
      <c r="B4" s="225"/>
      <c r="C4" s="225"/>
      <c r="D4" s="226" t="s">
        <v>113</v>
      </c>
      <c r="E4" s="226"/>
      <c r="F4" s="226"/>
      <c r="G4" s="30">
        <v>44232</v>
      </c>
      <c r="H4" s="29"/>
      <c r="I4" s="28"/>
    </row>
    <row r="5" spans="1:9" ht="11.25" customHeight="1">
      <c r="A5" s="243" t="s">
        <v>180</v>
      </c>
      <c r="B5" s="244"/>
      <c r="C5" s="244"/>
      <c r="D5" s="226" t="s">
        <v>109</v>
      </c>
      <c r="E5" s="226"/>
      <c r="F5" s="226"/>
      <c r="G5" s="31">
        <f>B28</f>
        <v>155252.82</v>
      </c>
      <c r="H5" s="29"/>
      <c r="I5" s="28"/>
    </row>
    <row r="6" spans="1:9" ht="12.75" customHeight="1">
      <c r="A6" s="224" t="s">
        <v>149</v>
      </c>
      <c r="B6" s="225"/>
      <c r="C6" s="225"/>
      <c r="D6" s="226" t="s">
        <v>114</v>
      </c>
      <c r="E6" s="226"/>
      <c r="F6" s="226"/>
      <c r="G6" s="31">
        <v>150000</v>
      </c>
      <c r="H6" s="29"/>
      <c r="I6" s="28"/>
    </row>
    <row r="7" spans="1:9" ht="14.25" customHeight="1" thickBot="1">
      <c r="A7" s="227" t="s">
        <v>177</v>
      </c>
      <c r="B7" s="228"/>
      <c r="C7" s="229"/>
      <c r="D7" s="230" t="s">
        <v>115</v>
      </c>
      <c r="E7" s="230"/>
      <c r="F7" s="230"/>
      <c r="G7" s="32">
        <f>G5-G6</f>
        <v>5252.820000000007</v>
      </c>
      <c r="H7" s="29"/>
      <c r="I7" s="28"/>
    </row>
    <row r="8" spans="1:9" ht="15.75" customHeight="1" thickBot="1">
      <c r="A8" s="231" t="str">
        <f>'Planilha de quantitativos'!C15</f>
        <v>Serviços preliminares</v>
      </c>
      <c r="B8" s="233">
        <f>'Planilha de quantitativos'!H18</f>
        <v>6045.25</v>
      </c>
      <c r="C8" s="33" t="s">
        <v>116</v>
      </c>
      <c r="D8" s="34">
        <v>1</v>
      </c>
      <c r="E8" s="35">
        <v>0</v>
      </c>
      <c r="F8" s="35">
        <v>0</v>
      </c>
      <c r="G8" s="36">
        <f aca="true" t="shared" si="0" ref="G8:G28">SUM(D8:F8)</f>
        <v>1</v>
      </c>
      <c r="H8" s="29"/>
      <c r="I8" s="28"/>
    </row>
    <row r="9" spans="1:9" ht="15.75" thickBot="1">
      <c r="A9" s="232"/>
      <c r="B9" s="222"/>
      <c r="C9" s="33" t="s">
        <v>117</v>
      </c>
      <c r="D9" s="37">
        <f>$B$8*D8</f>
        <v>6045.25</v>
      </c>
      <c r="E9" s="37">
        <f>$B$8*E8</f>
        <v>0</v>
      </c>
      <c r="F9" s="37">
        <f>$B$8*F8</f>
        <v>0</v>
      </c>
      <c r="G9" s="138">
        <f t="shared" si="0"/>
        <v>6045.25</v>
      </c>
      <c r="H9" s="167">
        <f>G9/$G$29</f>
        <v>0.03893810109214119</v>
      </c>
      <c r="I9" s="28"/>
    </row>
    <row r="10" spans="1:9" ht="15.75" thickBot="1">
      <c r="A10" s="219" t="str">
        <f>'Planilha de quantitativos'!C19</f>
        <v>Locação da obra</v>
      </c>
      <c r="B10" s="221">
        <f>'Planilha de quantitativos'!H21</f>
        <v>7524.92</v>
      </c>
      <c r="C10" s="33" t="s">
        <v>116</v>
      </c>
      <c r="D10" s="35">
        <v>1</v>
      </c>
      <c r="E10" s="35">
        <v>0</v>
      </c>
      <c r="F10" s="35">
        <v>0</v>
      </c>
      <c r="G10" s="36">
        <f t="shared" si="0"/>
        <v>1</v>
      </c>
      <c r="H10" s="168"/>
      <c r="I10" s="28"/>
    </row>
    <row r="11" spans="1:9" ht="15.75" thickBot="1">
      <c r="A11" s="220"/>
      <c r="B11" s="222"/>
      <c r="C11" s="33" t="s">
        <v>117</v>
      </c>
      <c r="D11" s="37">
        <f>$B$10*D10</f>
        <v>7524.92</v>
      </c>
      <c r="E11" s="37">
        <f>$B$10*E10</f>
        <v>0</v>
      </c>
      <c r="F11" s="37">
        <f>$B$10*F10</f>
        <v>0</v>
      </c>
      <c r="G11" s="138">
        <f>SUM(D11:F11)</f>
        <v>7524.92</v>
      </c>
      <c r="H11" s="167">
        <f>G11/$G$29</f>
        <v>0.04846881364216122</v>
      </c>
      <c r="I11" s="28"/>
    </row>
    <row r="12" spans="1:9" ht="15.75" thickBot="1">
      <c r="A12" s="223" t="str">
        <f>'Planilha de quantitativos'!C22</f>
        <v>Terraplanagem/ Trabalhos em terra</v>
      </c>
      <c r="B12" s="221">
        <f>'Planilha de quantitativos'!H25</f>
        <v>816.51</v>
      </c>
      <c r="C12" s="33" t="s">
        <v>116</v>
      </c>
      <c r="D12" s="35">
        <v>1</v>
      </c>
      <c r="E12" s="35">
        <v>0</v>
      </c>
      <c r="F12" s="35">
        <v>0</v>
      </c>
      <c r="G12" s="36">
        <f t="shared" si="0"/>
        <v>1</v>
      </c>
      <c r="H12" s="168"/>
      <c r="I12" s="28"/>
    </row>
    <row r="13" spans="1:9" ht="15.75" thickBot="1">
      <c r="A13" s="220"/>
      <c r="B13" s="222"/>
      <c r="C13" s="33" t="s">
        <v>117</v>
      </c>
      <c r="D13" s="38">
        <f>$B$12*D12</f>
        <v>816.51</v>
      </c>
      <c r="E13" s="38">
        <f>$B$12*E12</f>
        <v>0</v>
      </c>
      <c r="F13" s="38">
        <f>$B$12*F12</f>
        <v>0</v>
      </c>
      <c r="G13" s="138">
        <f t="shared" si="0"/>
        <v>816.51</v>
      </c>
      <c r="H13" s="167">
        <f>G13/$G$29</f>
        <v>0.005259228141556462</v>
      </c>
      <c r="I13" s="28"/>
    </row>
    <row r="14" spans="1:9" ht="15.75" thickBot="1">
      <c r="A14" s="219" t="str">
        <f>'Planilha de quantitativos'!C26</f>
        <v>Pisos</v>
      </c>
      <c r="B14" s="221">
        <f>'Planilha de quantitativos'!H29</f>
        <v>78018.12000000001</v>
      </c>
      <c r="C14" s="33" t="s">
        <v>116</v>
      </c>
      <c r="D14" s="35">
        <v>0.5</v>
      </c>
      <c r="E14" s="35">
        <v>0.5</v>
      </c>
      <c r="F14" s="35">
        <v>0</v>
      </c>
      <c r="G14" s="36">
        <f t="shared" si="0"/>
        <v>1</v>
      </c>
      <c r="H14" s="168"/>
      <c r="I14" s="28"/>
    </row>
    <row r="15" spans="1:9" ht="15.75" thickBot="1">
      <c r="A15" s="220"/>
      <c r="B15" s="222"/>
      <c r="C15" s="33" t="s">
        <v>117</v>
      </c>
      <c r="D15" s="37">
        <f>$B$14*D14</f>
        <v>39009.060000000005</v>
      </c>
      <c r="E15" s="37">
        <f>$B$14*E14</f>
        <v>39009.060000000005</v>
      </c>
      <c r="F15" s="37">
        <f>$B$14*F14</f>
        <v>0</v>
      </c>
      <c r="G15" s="138">
        <f t="shared" si="0"/>
        <v>78018.12000000001</v>
      </c>
      <c r="H15" s="167">
        <f>G15/$G$29</f>
        <v>0.5025230459581991</v>
      </c>
      <c r="I15" s="28"/>
    </row>
    <row r="16" spans="1:9" ht="15.75" thickBot="1">
      <c r="A16" s="219" t="str">
        <f>'Planilha de quantitativos'!C30</f>
        <v>Alvenaria e divisões</v>
      </c>
      <c r="B16" s="221">
        <f>'Planilha de quantitativos'!H34</f>
        <v>10592.400000000001</v>
      </c>
      <c r="C16" s="33" t="s">
        <v>116</v>
      </c>
      <c r="D16" s="35">
        <v>0.5</v>
      </c>
      <c r="E16" s="35">
        <v>0.5</v>
      </c>
      <c r="F16" s="35">
        <v>0</v>
      </c>
      <c r="G16" s="36">
        <f t="shared" si="0"/>
        <v>1</v>
      </c>
      <c r="H16" s="168"/>
      <c r="I16" s="28"/>
    </row>
    <row r="17" spans="1:9" ht="15.75" thickBot="1">
      <c r="A17" s="220"/>
      <c r="B17" s="222"/>
      <c r="C17" s="33" t="s">
        <v>117</v>
      </c>
      <c r="D17" s="37">
        <f>$B$16*D16</f>
        <v>5296.200000000001</v>
      </c>
      <c r="E17" s="37">
        <f>$B$16*E16</f>
        <v>5296.200000000001</v>
      </c>
      <c r="F17" s="37">
        <f>$B$16*F16</f>
        <v>0</v>
      </c>
      <c r="G17" s="138">
        <f t="shared" si="0"/>
        <v>10592.400000000001</v>
      </c>
      <c r="H17" s="167">
        <f>G17/$G$29</f>
        <v>0.06822678003529985</v>
      </c>
      <c r="I17" s="28"/>
    </row>
    <row r="18" spans="1:9" ht="15.75" thickBot="1">
      <c r="A18" s="219" t="str">
        <f>'Planilha de quantitativos'!C35</f>
        <v>Revestimentos</v>
      </c>
      <c r="B18" s="221">
        <f>'Planilha de quantitativos'!H38</f>
        <v>8961.89</v>
      </c>
      <c r="C18" s="33" t="s">
        <v>116</v>
      </c>
      <c r="D18" s="35">
        <v>0</v>
      </c>
      <c r="E18" s="35">
        <v>0.5</v>
      </c>
      <c r="F18" s="35">
        <v>0.5</v>
      </c>
      <c r="G18" s="36">
        <f t="shared" si="0"/>
        <v>1</v>
      </c>
      <c r="H18" s="168"/>
      <c r="I18" s="28"/>
    </row>
    <row r="19" spans="1:9" ht="15.75" thickBot="1">
      <c r="A19" s="220"/>
      <c r="B19" s="222"/>
      <c r="C19" s="33" t="s">
        <v>117</v>
      </c>
      <c r="D19" s="37">
        <f>$B$18*D18</f>
        <v>0</v>
      </c>
      <c r="E19" s="37">
        <f>$B$18*E18</f>
        <v>4480.945</v>
      </c>
      <c r="F19" s="37">
        <f>$B$18*F18</f>
        <v>4480.945</v>
      </c>
      <c r="G19" s="138">
        <f>SUM(D19:F19)</f>
        <v>8961.89</v>
      </c>
      <c r="H19" s="167">
        <f>G19/$G$29</f>
        <v>0.05772449093034187</v>
      </c>
      <c r="I19" s="28"/>
    </row>
    <row r="20" spans="1:9" ht="15.75" thickBot="1">
      <c r="A20" s="219" t="str">
        <f>'Planilha de quantitativos'!C39</f>
        <v>Pintura</v>
      </c>
      <c r="B20" s="221">
        <f>'Planilha de quantitativos'!H43</f>
        <v>14920.92</v>
      </c>
      <c r="C20" s="33" t="s">
        <v>116</v>
      </c>
      <c r="D20" s="35">
        <v>0</v>
      </c>
      <c r="E20" s="35">
        <v>0.3</v>
      </c>
      <c r="F20" s="35">
        <v>0.7</v>
      </c>
      <c r="G20" s="36">
        <f t="shared" si="0"/>
        <v>1</v>
      </c>
      <c r="H20" s="168"/>
      <c r="I20" s="28"/>
    </row>
    <row r="21" spans="1:9" ht="15.75" thickBot="1">
      <c r="A21" s="220"/>
      <c r="B21" s="222"/>
      <c r="C21" s="33" t="s">
        <v>117</v>
      </c>
      <c r="D21" s="37">
        <f>$B$20*D20</f>
        <v>0</v>
      </c>
      <c r="E21" s="37">
        <f>$B$20*E20</f>
        <v>4476.276</v>
      </c>
      <c r="F21" s="37">
        <f>$B$20*F20</f>
        <v>10444.644</v>
      </c>
      <c r="G21" s="138">
        <f>SUM(D21:F21)</f>
        <v>14920.92</v>
      </c>
      <c r="H21" s="167">
        <f>G21/$G$29</f>
        <v>0.09610723979119992</v>
      </c>
      <c r="I21" s="28"/>
    </row>
    <row r="22" spans="1:9" ht="15.75" thickBot="1">
      <c r="A22" s="219" t="str">
        <f>'Planilha de quantitativos'!C44</f>
        <v>Alambrado</v>
      </c>
      <c r="B22" s="221">
        <f>'Planilha de quantitativos'!H47</f>
        <v>18054.54</v>
      </c>
      <c r="C22" s="33" t="s">
        <v>116</v>
      </c>
      <c r="D22" s="35">
        <v>0</v>
      </c>
      <c r="E22" s="35">
        <v>0</v>
      </c>
      <c r="F22" s="35">
        <v>1</v>
      </c>
      <c r="G22" s="36">
        <f t="shared" si="0"/>
        <v>1</v>
      </c>
      <c r="H22" s="168"/>
      <c r="I22" s="28"/>
    </row>
    <row r="23" spans="1:9" ht="15.75" thickBot="1">
      <c r="A23" s="220"/>
      <c r="B23" s="222"/>
      <c r="C23" s="33" t="s">
        <v>117</v>
      </c>
      <c r="D23" s="37">
        <f>$B$22*D22</f>
        <v>0</v>
      </c>
      <c r="E23" s="37">
        <f>$B$22*E22</f>
        <v>0</v>
      </c>
      <c r="F23" s="37">
        <f>$B$22*F22</f>
        <v>18054.54</v>
      </c>
      <c r="G23" s="138">
        <f t="shared" si="0"/>
        <v>18054.54</v>
      </c>
      <c r="H23" s="167">
        <f>G23/$G$29</f>
        <v>0.11629122099038201</v>
      </c>
      <c r="I23" s="28"/>
    </row>
    <row r="24" spans="1:9" ht="15.75" thickBot="1">
      <c r="A24" s="219" t="str">
        <f>'Planilha de quantitativos'!C48</f>
        <v>Equipamentos esportivos</v>
      </c>
      <c r="B24" s="221">
        <f>'Planilha de quantitativos'!H52</f>
        <v>5713.469999999999</v>
      </c>
      <c r="C24" s="33" t="s">
        <v>116</v>
      </c>
      <c r="D24" s="35">
        <v>0</v>
      </c>
      <c r="E24" s="35">
        <v>0</v>
      </c>
      <c r="F24" s="35">
        <v>1</v>
      </c>
      <c r="G24" s="36">
        <f t="shared" si="0"/>
        <v>1</v>
      </c>
      <c r="H24" s="168"/>
      <c r="I24" s="28"/>
    </row>
    <row r="25" spans="1:9" ht="15.75" thickBot="1">
      <c r="A25" s="220"/>
      <c r="B25" s="222"/>
      <c r="C25" s="33" t="s">
        <v>117</v>
      </c>
      <c r="D25" s="37">
        <f>$B$24*D24</f>
        <v>0</v>
      </c>
      <c r="E25" s="37">
        <f>$B$24*E24</f>
        <v>0</v>
      </c>
      <c r="F25" s="37">
        <f>$B$24*F24</f>
        <v>5713.469999999999</v>
      </c>
      <c r="G25" s="138">
        <f t="shared" si="0"/>
        <v>5713.469999999999</v>
      </c>
      <c r="H25" s="167">
        <f>G25/$G$29</f>
        <v>0.03680107066654248</v>
      </c>
      <c r="I25" s="28"/>
    </row>
    <row r="26" spans="1:9" ht="15.75" thickBot="1">
      <c r="A26" s="219" t="str">
        <f>'Planilha de quantitativos'!C53</f>
        <v>Limpeza Geral</v>
      </c>
      <c r="B26" s="221">
        <f>'Planilha de quantitativos'!H55</f>
        <v>4604.8</v>
      </c>
      <c r="C26" s="33" t="s">
        <v>116</v>
      </c>
      <c r="D26" s="35">
        <v>0</v>
      </c>
      <c r="E26" s="35">
        <v>0</v>
      </c>
      <c r="F26" s="35">
        <v>1</v>
      </c>
      <c r="G26" s="36">
        <f t="shared" si="0"/>
        <v>1</v>
      </c>
      <c r="H26" s="168"/>
      <c r="I26" s="28"/>
    </row>
    <row r="27" spans="1:9" ht="15.75" thickBot="1">
      <c r="A27" s="220"/>
      <c r="B27" s="222"/>
      <c r="C27" s="33" t="s">
        <v>117</v>
      </c>
      <c r="D27" s="37">
        <f>$B$26*D26</f>
        <v>0</v>
      </c>
      <c r="E27" s="37">
        <f>$B$26*E26</f>
        <v>0</v>
      </c>
      <c r="F27" s="37">
        <f>$B$26*F26</f>
        <v>4604.8</v>
      </c>
      <c r="G27" s="138">
        <f t="shared" si="0"/>
        <v>4604.8</v>
      </c>
      <c r="H27" s="167">
        <f>G27/$G$29</f>
        <v>0.029660008752175965</v>
      </c>
      <c r="I27" s="28"/>
    </row>
    <row r="28" spans="1:9" ht="15.75" thickBot="1">
      <c r="A28" s="213" t="s">
        <v>3</v>
      </c>
      <c r="B28" s="215">
        <f>SUM(B8:B27)</f>
        <v>155252.82</v>
      </c>
      <c r="C28" s="39" t="s">
        <v>116</v>
      </c>
      <c r="D28" s="40">
        <f>D29/$B$28</f>
        <v>0.37804105587260833</v>
      </c>
      <c r="E28" s="40">
        <f>E29/$B$28</f>
        <v>0.3430693303992804</v>
      </c>
      <c r="F28" s="40">
        <f>F29/$B$28</f>
        <v>0.27888961372811133</v>
      </c>
      <c r="G28" s="36">
        <f t="shared" si="0"/>
        <v>1</v>
      </c>
      <c r="H28" s="169"/>
      <c r="I28" s="28"/>
    </row>
    <row r="29" spans="1:9" ht="15.75" thickBot="1">
      <c r="A29" s="214"/>
      <c r="B29" s="216"/>
      <c r="C29" s="39" t="s">
        <v>117</v>
      </c>
      <c r="D29" s="41">
        <f>SUM(D27,D25,D23,D21,D19,D17,D15,D13,D11,D9)</f>
        <v>58691.94000000001</v>
      </c>
      <c r="E29" s="41">
        <f>SUM(E27,E25,E23,E21,E19,E17,E15,E13,E11,E9)</f>
        <v>53262.48100000001</v>
      </c>
      <c r="F29" s="41">
        <f>SUM(F27,F25,F23,F21,F19,F17,F15,F13,F11,F9)</f>
        <v>43298.399</v>
      </c>
      <c r="G29" s="139">
        <f>SUM(D29:F29)</f>
        <v>155252.82</v>
      </c>
      <c r="H29" s="29"/>
      <c r="I29" s="28"/>
    </row>
    <row r="30" spans="1:9" ht="15">
      <c r="A30" s="26"/>
      <c r="B30" s="27"/>
      <c r="C30" s="27"/>
      <c r="D30" s="27"/>
      <c r="E30" s="27"/>
      <c r="F30" s="27"/>
      <c r="G30" s="42"/>
      <c r="H30" s="29"/>
      <c r="I30" s="28"/>
    </row>
    <row r="31" spans="1:9" ht="15">
      <c r="A31" s="43"/>
      <c r="B31" s="44"/>
      <c r="C31" s="44"/>
      <c r="D31" s="44"/>
      <c r="E31" s="44"/>
      <c r="F31" s="44"/>
      <c r="G31" s="45"/>
      <c r="H31" s="29"/>
      <c r="I31" s="28"/>
    </row>
    <row r="32" spans="1:9" ht="15">
      <c r="A32" s="46"/>
      <c r="B32" s="7"/>
      <c r="C32" s="44"/>
      <c r="D32" s="7"/>
      <c r="E32" s="7"/>
      <c r="F32" s="44"/>
      <c r="G32" s="45"/>
      <c r="H32" s="29"/>
      <c r="I32" s="28"/>
    </row>
    <row r="33" spans="1:9" ht="15">
      <c r="A33" s="47" t="s">
        <v>118</v>
      </c>
      <c r="B33" s="217" t="s">
        <v>173</v>
      </c>
      <c r="C33" s="217"/>
      <c r="D33" s="217"/>
      <c r="E33" s="217"/>
      <c r="F33" s="217"/>
      <c r="G33" s="48"/>
      <c r="H33" s="29"/>
      <c r="I33" s="28"/>
    </row>
    <row r="34" spans="1:9" ht="15.75" thickBot="1">
      <c r="A34" s="86"/>
      <c r="B34" s="218" t="s">
        <v>174</v>
      </c>
      <c r="C34" s="218"/>
      <c r="D34" s="218"/>
      <c r="E34" s="218"/>
      <c r="F34" s="218"/>
      <c r="G34" s="49"/>
      <c r="H34" s="29"/>
      <c r="I34" s="28"/>
    </row>
    <row r="35" spans="1:8" ht="12.75">
      <c r="A35" s="28"/>
      <c r="B35" s="28"/>
      <c r="C35" s="28"/>
      <c r="D35" s="28"/>
      <c r="E35" s="28"/>
      <c r="F35" s="28"/>
      <c r="G35" s="28"/>
      <c r="H35" s="28"/>
    </row>
    <row r="36" spans="1:8" ht="12.75">
      <c r="A36" s="28"/>
      <c r="B36" s="28"/>
      <c r="C36" s="28"/>
      <c r="D36" s="28"/>
      <c r="E36" s="28"/>
      <c r="F36" s="28"/>
      <c r="G36" s="28"/>
      <c r="H36" s="28"/>
    </row>
  </sheetData>
  <sheetProtection/>
  <mergeCells count="35">
    <mergeCell ref="A1:G1"/>
    <mergeCell ref="A2:G2"/>
    <mergeCell ref="A3:G3"/>
    <mergeCell ref="A4:C4"/>
    <mergeCell ref="D4:F4"/>
    <mergeCell ref="A5:C5"/>
    <mergeCell ref="D5:F5"/>
    <mergeCell ref="A6:C6"/>
    <mergeCell ref="D6:F6"/>
    <mergeCell ref="A7:C7"/>
    <mergeCell ref="D7:F7"/>
    <mergeCell ref="A8:A9"/>
    <mergeCell ref="B8:B9"/>
    <mergeCell ref="A10:A11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8:A29"/>
    <mergeCell ref="B28:B29"/>
    <mergeCell ref="B33:F33"/>
    <mergeCell ref="B34:F34"/>
    <mergeCell ref="A22:A23"/>
    <mergeCell ref="B22:B23"/>
    <mergeCell ref="A24:A25"/>
    <mergeCell ref="B24:B25"/>
    <mergeCell ref="A26:A27"/>
    <mergeCell ref="B26:B2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view="pageBreakPreview" zoomScaleSheetLayoutView="100" zoomScalePageLayoutView="0" workbookViewId="0" topLeftCell="A1">
      <selection activeCell="F29" sqref="F29"/>
    </sheetView>
  </sheetViews>
  <sheetFormatPr defaultColWidth="9.140625" defaultRowHeight="12.75"/>
  <cols>
    <col min="1" max="1" width="4.421875" style="0" customWidth="1"/>
    <col min="2" max="2" width="7.28125" style="0" customWidth="1"/>
    <col min="3" max="3" width="31.57421875" style="0" customWidth="1"/>
    <col min="4" max="5" width="12.140625" style="0" customWidth="1"/>
    <col min="6" max="6" width="9.00390625" style="0" customWidth="1"/>
    <col min="7" max="7" width="10.57421875" style="0" customWidth="1"/>
  </cols>
  <sheetData>
    <row r="1" spans="1:7" ht="15">
      <c r="A1" s="51"/>
      <c r="B1" s="245" t="s">
        <v>121</v>
      </c>
      <c r="C1" s="245"/>
      <c r="D1" s="245"/>
      <c r="E1" s="245"/>
      <c r="F1" s="52"/>
      <c r="G1" s="53"/>
    </row>
    <row r="2" spans="1:7" s="57" customFormat="1" ht="11.25">
      <c r="A2" s="54"/>
      <c r="B2" s="246" t="s">
        <v>122</v>
      </c>
      <c r="C2" s="246"/>
      <c r="D2" s="246"/>
      <c r="E2" s="246"/>
      <c r="F2" s="55"/>
      <c r="G2" s="56"/>
    </row>
    <row r="3" spans="1:7" s="57" customFormat="1" ht="11.25">
      <c r="A3" s="54"/>
      <c r="B3" s="55"/>
      <c r="C3" s="55"/>
      <c r="D3" s="55"/>
      <c r="E3" s="55"/>
      <c r="F3" s="55"/>
      <c r="G3" s="58" t="s">
        <v>118</v>
      </c>
    </row>
    <row r="4" spans="1:7" s="57" customFormat="1" ht="22.5">
      <c r="A4" s="54"/>
      <c r="B4" s="88" t="s">
        <v>123</v>
      </c>
      <c r="C4" s="88" t="s">
        <v>124</v>
      </c>
      <c r="D4" s="89" t="s">
        <v>125</v>
      </c>
      <c r="E4" s="59"/>
      <c r="F4" s="88" t="s">
        <v>126</v>
      </c>
      <c r="G4" s="88"/>
    </row>
    <row r="5" spans="1:7" s="57" customFormat="1" ht="12.75">
      <c r="A5" s="54"/>
      <c r="B5" s="60"/>
      <c r="C5" s="60"/>
      <c r="D5" s="60"/>
      <c r="E5" s="55"/>
      <c r="F5" s="60" t="s">
        <v>127</v>
      </c>
      <c r="G5" s="90">
        <v>0.0065</v>
      </c>
    </row>
    <row r="6" spans="1:7" s="57" customFormat="1" ht="12.75">
      <c r="A6" s="54"/>
      <c r="B6" s="60" t="s">
        <v>128</v>
      </c>
      <c r="C6" s="60" t="s">
        <v>129</v>
      </c>
      <c r="D6" s="90">
        <v>0.0489</v>
      </c>
      <c r="E6" s="55"/>
      <c r="F6" s="60" t="s">
        <v>130</v>
      </c>
      <c r="G6" s="90">
        <v>0.03</v>
      </c>
    </row>
    <row r="7" spans="1:7" s="57" customFormat="1" ht="12.75">
      <c r="A7" s="54"/>
      <c r="B7" s="60" t="s">
        <v>131</v>
      </c>
      <c r="C7" s="60" t="s">
        <v>132</v>
      </c>
      <c r="D7" s="90">
        <v>0.01</v>
      </c>
      <c r="E7" s="55"/>
      <c r="F7" s="60" t="s">
        <v>133</v>
      </c>
      <c r="G7" s="90">
        <v>0.02</v>
      </c>
    </row>
    <row r="8" spans="1:7" s="57" customFormat="1" ht="12.75">
      <c r="A8" s="54"/>
      <c r="B8" s="60" t="s">
        <v>134</v>
      </c>
      <c r="C8" s="60" t="s">
        <v>135</v>
      </c>
      <c r="D8" s="90">
        <v>0</v>
      </c>
      <c r="E8" s="55"/>
      <c r="F8" s="60"/>
      <c r="G8" s="60"/>
    </row>
    <row r="9" spans="1:7" s="57" customFormat="1" ht="12.75">
      <c r="A9" s="54"/>
      <c r="B9" s="60" t="s">
        <v>136</v>
      </c>
      <c r="C9" s="60" t="s">
        <v>137</v>
      </c>
      <c r="D9" s="90">
        <v>0.0127</v>
      </c>
      <c r="E9" s="55"/>
      <c r="F9" s="60"/>
      <c r="G9" s="60"/>
    </row>
    <row r="10" spans="1:7" s="57" customFormat="1" ht="12.75">
      <c r="A10" s="54"/>
      <c r="B10" s="60" t="s">
        <v>138</v>
      </c>
      <c r="C10" s="60" t="s">
        <v>139</v>
      </c>
      <c r="D10" s="90">
        <v>0.0139</v>
      </c>
      <c r="E10" s="55"/>
      <c r="F10" s="60" t="s">
        <v>140</v>
      </c>
      <c r="G10" s="90">
        <f>SUM(G5:G7)</f>
        <v>0.056499999999999995</v>
      </c>
    </row>
    <row r="11" spans="1:7" s="57" customFormat="1" ht="12.75">
      <c r="A11" s="54"/>
      <c r="B11" s="60" t="s">
        <v>141</v>
      </c>
      <c r="C11" s="60" t="s">
        <v>142</v>
      </c>
      <c r="D11" s="90">
        <v>0.0797</v>
      </c>
      <c r="E11" s="55"/>
      <c r="F11" s="55"/>
      <c r="G11" s="56"/>
    </row>
    <row r="12" spans="1:7" s="57" customFormat="1" ht="12.75">
      <c r="A12" s="54"/>
      <c r="B12" s="60" t="s">
        <v>143</v>
      </c>
      <c r="C12" s="60" t="s">
        <v>126</v>
      </c>
      <c r="D12" s="90">
        <f>G10</f>
        <v>0.056499999999999995</v>
      </c>
      <c r="E12" s="55"/>
      <c r="F12" s="55"/>
      <c r="G12" s="56"/>
    </row>
    <row r="13" spans="1:7" s="57" customFormat="1" ht="12.75">
      <c r="A13" s="54"/>
      <c r="B13" s="60" t="s">
        <v>144</v>
      </c>
      <c r="C13" s="60" t="s">
        <v>144</v>
      </c>
      <c r="D13" s="90">
        <v>0.045</v>
      </c>
      <c r="E13" s="55"/>
      <c r="F13" s="55"/>
      <c r="G13" s="56"/>
    </row>
    <row r="14" spans="1:7" s="57" customFormat="1" ht="11.25">
      <c r="A14" s="54"/>
      <c r="B14" s="60"/>
      <c r="C14" s="60"/>
      <c r="D14" s="61"/>
      <c r="E14" s="55"/>
      <c r="F14" s="55"/>
      <c r="G14" s="56"/>
    </row>
    <row r="15" spans="1:7" s="57" customFormat="1" ht="11.25">
      <c r="A15" s="54"/>
      <c r="B15" s="55"/>
      <c r="C15" s="55"/>
      <c r="D15" s="55"/>
      <c r="E15" s="55"/>
      <c r="F15" s="55"/>
      <c r="G15" s="56"/>
    </row>
    <row r="16" spans="1:7" s="57" customFormat="1" ht="11.25">
      <c r="A16" s="54"/>
      <c r="B16" s="55"/>
      <c r="C16" s="55" t="s">
        <v>145</v>
      </c>
      <c r="D16" s="62">
        <f>((1+(D6+D7+D8+D9))*(1+D10)*(1+D11)/(1-(D12+D13))-1)</f>
        <v>0.30560813648080143</v>
      </c>
      <c r="E16" s="55"/>
      <c r="F16" s="55"/>
      <c r="G16" s="56"/>
    </row>
    <row r="17" spans="1:7" s="57" customFormat="1" ht="11.25">
      <c r="A17" s="54"/>
      <c r="B17" s="55"/>
      <c r="C17" s="55"/>
      <c r="D17" s="62"/>
      <c r="E17" s="55"/>
      <c r="F17" s="55"/>
      <c r="G17" s="56"/>
    </row>
    <row r="18" spans="1:7" s="57" customFormat="1" ht="11.25">
      <c r="A18" s="54"/>
      <c r="B18" s="55"/>
      <c r="C18" s="55" t="s">
        <v>146</v>
      </c>
      <c r="D18" s="55"/>
      <c r="E18" s="55"/>
      <c r="F18" s="55"/>
      <c r="G18" s="56"/>
    </row>
    <row r="19" spans="1:7" s="57" customFormat="1" ht="11.25">
      <c r="A19" s="54"/>
      <c r="B19" s="55"/>
      <c r="C19" s="55"/>
      <c r="D19" s="55"/>
      <c r="E19" s="55"/>
      <c r="F19" s="55"/>
      <c r="G19" s="56"/>
    </row>
    <row r="20" spans="1:7" s="57" customFormat="1" ht="11.25">
      <c r="A20" s="54"/>
      <c r="B20" s="63"/>
      <c r="C20" s="55"/>
      <c r="D20" s="55"/>
      <c r="E20" s="55"/>
      <c r="F20" s="55"/>
      <c r="G20" s="56"/>
    </row>
    <row r="21" spans="1:7" s="57" customFormat="1" ht="11.25">
      <c r="A21" s="54"/>
      <c r="B21" s="64" t="s">
        <v>175</v>
      </c>
      <c r="C21" s="55"/>
      <c r="D21" s="55"/>
      <c r="E21" s="55"/>
      <c r="F21" s="55"/>
      <c r="G21" s="56"/>
    </row>
    <row r="22" spans="1:7" s="57" customFormat="1" ht="12" thickBot="1">
      <c r="A22" s="65"/>
      <c r="B22" s="66"/>
      <c r="C22" s="66"/>
      <c r="D22" s="66"/>
      <c r="E22" s="66"/>
      <c r="F22" s="66"/>
      <c r="G22" s="67"/>
    </row>
    <row r="23" spans="1:7" ht="0.75" customHeight="1" thickBot="1">
      <c r="A23" s="65"/>
      <c r="B23" s="66"/>
      <c r="C23" s="66"/>
      <c r="D23" s="66"/>
      <c r="E23" s="66"/>
      <c r="F23" s="66"/>
      <c r="G23" s="66"/>
    </row>
  </sheetData>
  <sheetProtection/>
  <mergeCells count="2">
    <mergeCell ref="B1:E1"/>
    <mergeCell ref="B2:E2"/>
  </mergeCells>
  <printOptions horizontalCentered="1"/>
  <pageMargins left="0.5118110236220472" right="0.5118110236220472" top="0.7874015748031497" bottom="0.7874015748031497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Setop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Setop</dc:creator>
  <cp:keywords/>
  <dc:description/>
  <cp:lastModifiedBy>win7</cp:lastModifiedBy>
  <cp:lastPrinted>2021-02-17T18:36:42Z</cp:lastPrinted>
  <dcterms:created xsi:type="dcterms:W3CDTF">2006-09-22T13:55:22Z</dcterms:created>
  <dcterms:modified xsi:type="dcterms:W3CDTF">2021-02-24T14:10:17Z</dcterms:modified>
  <cp:category/>
  <cp:version/>
  <cp:contentType/>
  <cp:contentStatus/>
</cp:coreProperties>
</file>