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490" windowHeight="7755"/>
  </bookViews>
  <sheets>
    <sheet name="PLANILHA" sheetId="1" r:id="rId1"/>
    <sheet name="BDI" sheetId="6" r:id="rId2"/>
    <sheet name="MEMORIA" sheetId="3" r:id="rId3"/>
    <sheet name="CRONOGRAMA" sheetId="4" r:id="rId4"/>
    <sheet name="QCI" sheetId="5" r:id="rId5"/>
  </sheets>
  <definedNames>
    <definedName name="_xlnm.Print_Area" localSheetId="3">CRONOGRAMA!$A$1:$AA$29</definedName>
    <definedName name="_xlnm.Print_Area" localSheetId="2">MEMORIA!$A$1:$J$138</definedName>
    <definedName name="_xlnm.Print_Area" localSheetId="0">PLANILHA!$A$1:$U$60</definedName>
    <definedName name="_xlnm.Print_Area" localSheetId="4">QCI!$A$1:$I$19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5" l="1"/>
  <c r="V46" i="1"/>
  <c r="S47" i="1"/>
  <c r="K45" i="1" l="1"/>
  <c r="D123" i="3"/>
  <c r="C18" i="4"/>
  <c r="Q45" i="1"/>
  <c r="V44" i="1"/>
  <c r="A133" i="3" l="1"/>
  <c r="V25" i="1" l="1"/>
  <c r="V26" i="1"/>
  <c r="V36" i="1"/>
  <c r="V37" i="1"/>
  <c r="V43" i="1"/>
  <c r="Q38" i="1" l="1"/>
  <c r="D38" i="1"/>
  <c r="C38" i="1"/>
  <c r="B38" i="1"/>
  <c r="D85" i="3"/>
  <c r="G127" i="3"/>
  <c r="I127" i="3" s="1"/>
  <c r="I128" i="3" s="1"/>
  <c r="G118" i="3" l="1"/>
  <c r="D19" i="3"/>
  <c r="N42" i="1" l="1"/>
  <c r="N34" i="1"/>
  <c r="D80" i="3"/>
  <c r="F27" i="3"/>
  <c r="D79" i="3" l="1"/>
  <c r="D78" i="3"/>
  <c r="D18" i="6" l="1"/>
  <c r="D16" i="6"/>
  <c r="D15" i="6"/>
  <c r="D14" i="6"/>
  <c r="D13" i="6"/>
  <c r="C12" i="6"/>
  <c r="D12" i="6" l="1"/>
  <c r="D27" i="6"/>
  <c r="C32" i="6"/>
  <c r="H19" i="3"/>
  <c r="I19" i="3" s="1"/>
  <c r="I41" i="3" l="1"/>
  <c r="I42" i="3"/>
  <c r="I40" i="3"/>
  <c r="H89" i="3" l="1"/>
  <c r="D28" i="3" l="1"/>
  <c r="D34" i="3" s="1"/>
  <c r="D35" i="3" l="1"/>
  <c r="D72" i="3"/>
  <c r="D31" i="3" l="1"/>
  <c r="Q29" i="1"/>
  <c r="E28" i="3" l="1"/>
  <c r="E34" i="3" s="1"/>
  <c r="I34" i="3" s="1"/>
  <c r="I35" i="3" s="1"/>
  <c r="E27" i="3"/>
  <c r="D27" i="3"/>
  <c r="I27" i="3" l="1"/>
  <c r="K29" i="1"/>
  <c r="C4" i="5"/>
  <c r="C17" i="5"/>
  <c r="B10" i="5"/>
  <c r="B9" i="5"/>
  <c r="B8" i="5"/>
  <c r="A10" i="4"/>
  <c r="C17" i="4"/>
  <c r="C16" i="4"/>
  <c r="C15" i="4"/>
  <c r="S29" i="1" l="1"/>
  <c r="V29" i="1"/>
  <c r="O29" i="1"/>
  <c r="H118" i="3" l="1"/>
  <c r="I118" i="3" s="1"/>
  <c r="H72" i="3"/>
  <c r="H20" i="3"/>
  <c r="I20" i="3" s="1"/>
  <c r="I119" i="3" l="1"/>
  <c r="H88" i="3"/>
  <c r="K42" i="1" l="1"/>
  <c r="D114" i="3"/>
  <c r="D107" i="3"/>
  <c r="D100" i="3"/>
  <c r="D93" i="3"/>
  <c r="D63" i="3"/>
  <c r="D57" i="3"/>
  <c r="D51" i="3"/>
  <c r="D45" i="3"/>
  <c r="D37" i="3"/>
  <c r="D23" i="3"/>
  <c r="D16" i="3"/>
  <c r="Q39" i="1"/>
  <c r="Q40" i="1"/>
  <c r="Q41" i="1"/>
  <c r="Q42" i="1"/>
  <c r="D75" i="3"/>
  <c r="I72" i="3"/>
  <c r="Q35" i="1"/>
  <c r="Q34" i="1"/>
  <c r="Q33" i="1"/>
  <c r="Q32" i="1"/>
  <c r="Q31" i="1"/>
  <c r="Q30" i="1"/>
  <c r="Q28" i="1"/>
  <c r="Q27" i="1"/>
  <c r="V42" i="1" l="1"/>
  <c r="S42" i="1"/>
  <c r="I111" i="3"/>
  <c r="I112" i="3" s="1"/>
  <c r="I104" i="3"/>
  <c r="H97" i="3"/>
  <c r="I97" i="3" s="1"/>
  <c r="I28" i="3"/>
  <c r="I29" i="3" s="1"/>
  <c r="I48" i="3"/>
  <c r="I54" i="3"/>
  <c r="S45" i="1" l="1"/>
  <c r="S46" i="1" s="1"/>
  <c r="V45" i="1"/>
  <c r="O45" i="1"/>
  <c r="K28" i="1"/>
  <c r="V28" i="1" s="1"/>
  <c r="E60" i="3"/>
  <c r="I21" i="3"/>
  <c r="K27" i="1" s="1"/>
  <c r="V27" i="1" s="1"/>
  <c r="K41" i="1"/>
  <c r="O42" i="1"/>
  <c r="I105" i="3"/>
  <c r="K40" i="1" s="1"/>
  <c r="V40" i="1" s="1"/>
  <c r="I98" i="3"/>
  <c r="K39" i="1" s="1"/>
  <c r="I73" i="3"/>
  <c r="I55" i="3"/>
  <c r="K32" i="1" s="1"/>
  <c r="V32" i="1" s="1"/>
  <c r="I43" i="3"/>
  <c r="K30" i="1" s="1"/>
  <c r="V30" i="1" s="1"/>
  <c r="I49" i="3"/>
  <c r="K31" i="1" s="1"/>
  <c r="V31" i="1" s="1"/>
  <c r="G11" i="5" l="1"/>
  <c r="D11" i="5"/>
  <c r="S39" i="1"/>
  <c r="V39" i="1"/>
  <c r="S41" i="1"/>
  <c r="V41" i="1"/>
  <c r="O41" i="1"/>
  <c r="O31" i="1"/>
  <c r="S31" i="1"/>
  <c r="O39" i="1"/>
  <c r="O27" i="1"/>
  <c r="S27" i="1"/>
  <c r="O30" i="1"/>
  <c r="S30" i="1"/>
  <c r="O32" i="1"/>
  <c r="S32" i="1"/>
  <c r="S40" i="1"/>
  <c r="O40" i="1"/>
  <c r="O28" i="1" l="1"/>
  <c r="S28" i="1"/>
  <c r="I11" i="3" l="1"/>
  <c r="A4" i="3"/>
  <c r="D66" i="3" l="1"/>
  <c r="H66" i="3" s="1"/>
  <c r="AD16" i="4" l="1"/>
  <c r="F5" i="4" l="1"/>
  <c r="O5" i="4"/>
  <c r="A12" i="4"/>
  <c r="AD15" i="4"/>
  <c r="AG15" i="4"/>
  <c r="AG16" i="4"/>
  <c r="T26" i="4"/>
  <c r="G133" i="3" s="1"/>
  <c r="T27" i="4"/>
  <c r="G134" i="3" s="1"/>
  <c r="A29" i="4"/>
  <c r="G66" i="3" l="1"/>
  <c r="I66" i="3" l="1"/>
  <c r="I67" i="3" s="1"/>
  <c r="K34" i="1" s="1"/>
  <c r="V34" i="1" s="1"/>
  <c r="G78" i="3"/>
  <c r="G88" i="3" s="1"/>
  <c r="G79" i="3"/>
  <c r="I78" i="3"/>
  <c r="G89" i="3" l="1"/>
  <c r="I89" i="3" s="1"/>
  <c r="I88" i="3"/>
  <c r="I80" i="3"/>
  <c r="I79" i="3"/>
  <c r="I90" i="3" l="1"/>
  <c r="K38" i="1" s="1"/>
  <c r="V38" i="1" s="1"/>
  <c r="I81" i="3"/>
  <c r="K35" i="1" s="1"/>
  <c r="O34" i="1"/>
  <c r="S34" i="1"/>
  <c r="O35" i="1" l="1"/>
  <c r="V35" i="1"/>
  <c r="O38" i="1"/>
  <c r="S38" i="1"/>
  <c r="S43" i="1" s="1"/>
  <c r="H18" i="4" s="1"/>
  <c r="I18" i="4" s="1"/>
  <c r="H60" i="3"/>
  <c r="I60" i="3" s="1"/>
  <c r="S35" i="1"/>
  <c r="A22" i="1"/>
  <c r="A5" i="3" s="1"/>
  <c r="M18" i="4" l="1"/>
  <c r="W18" i="4"/>
  <c r="R18" i="4"/>
  <c r="D10" i="5"/>
  <c r="G10" i="5" s="1"/>
  <c r="H17" i="4"/>
  <c r="I61" i="3"/>
  <c r="K33" i="1" s="1"/>
  <c r="V33" i="1" s="1"/>
  <c r="O33" i="1" l="1"/>
  <c r="S33" i="1"/>
  <c r="S36" i="1" s="1"/>
  <c r="A19" i="5"/>
  <c r="H16" i="4" l="1"/>
  <c r="D9" i="5"/>
  <c r="G9" i="5" s="1"/>
  <c r="B3" i="3"/>
  <c r="B2" i="3"/>
  <c r="C5" i="5"/>
  <c r="Q24" i="1" l="1"/>
  <c r="K24" i="1"/>
  <c r="I12" i="3"/>
  <c r="O24" i="1" l="1"/>
  <c r="V24" i="1"/>
  <c r="S24" i="1"/>
  <c r="I17" i="4" l="1"/>
  <c r="S25" i="1"/>
  <c r="H15" i="4" l="1"/>
  <c r="H19" i="4" s="1"/>
  <c r="D8" i="5"/>
  <c r="D12" i="5" s="1"/>
  <c r="R17" i="4"/>
  <c r="M17" i="4"/>
  <c r="W17" i="4"/>
  <c r="W19" i="4" s="1"/>
  <c r="G8" i="5" l="1"/>
  <c r="G12" i="5" s="1"/>
  <c r="I15" i="4"/>
  <c r="R15" i="4" l="1"/>
  <c r="M15" i="4"/>
  <c r="I16" i="4" l="1"/>
  <c r="I19" i="4" s="1"/>
  <c r="R16" i="4" l="1"/>
  <c r="R19" i="4" s="1"/>
  <c r="M16" i="4"/>
  <c r="M19" i="4" s="1"/>
  <c r="G18" i="4"/>
  <c r="L5" i="5"/>
  <c r="G17" i="4" l="1"/>
  <c r="V19" i="4"/>
  <c r="H20" i="4"/>
  <c r="G15" i="4"/>
  <c r="AA19" i="4"/>
  <c r="G16" i="4"/>
  <c r="G19" i="4" l="1"/>
  <c r="G20" i="4" s="1"/>
  <c r="I20" i="4"/>
  <c r="L19" i="4"/>
  <c r="L20" i="4" s="1"/>
  <c r="Q19" i="4"/>
  <c r="Q20" i="4" s="1"/>
  <c r="V20" i="4" s="1"/>
  <c r="M20" i="4"/>
  <c r="R20" i="4" s="1"/>
  <c r="W20" i="4" s="1"/>
  <c r="AA20" i="4" l="1"/>
  <c r="AD19" i="4"/>
</calcChain>
</file>

<file path=xl/sharedStrings.xml><?xml version="1.0" encoding="utf-8"?>
<sst xmlns="http://schemas.openxmlformats.org/spreadsheetml/2006/main" count="490" uniqueCount="260">
  <si>
    <t>ORÇAMENTO DISCRIMINATIVO</t>
  </si>
  <si>
    <r>
      <rPr>
        <b/>
        <sz val="9"/>
        <color rgb="FFFFFFFF"/>
        <rFont val="Arial"/>
        <family val="2"/>
      </rPr>
      <t>Setor Público - REPASSE</t>
    </r>
  </si>
  <si>
    <t>Proponente</t>
  </si>
  <si>
    <t>Nº do Contrato de Repasse - OGU</t>
  </si>
  <si>
    <t>Empreendimento ( Nome/Apelido)</t>
  </si>
  <si>
    <t>UF</t>
  </si>
  <si>
    <t>MG</t>
  </si>
  <si>
    <t>Gestor (Ministério)</t>
  </si>
  <si>
    <t>Data-Base (mês de referência)</t>
  </si>
  <si>
    <t>Composição do BDI sugerida</t>
  </si>
  <si>
    <r>
      <rPr>
        <sz val="9"/>
        <rFont val="Arial"/>
        <family val="2"/>
      </rPr>
      <t>Intervalos admissíveis
sem justificativa</t>
    </r>
  </si>
  <si>
    <t>Composição de BDI Adotada</t>
  </si>
  <si>
    <t>BDI Proposto:</t>
  </si>
  <si>
    <t>De</t>
  </si>
  <si>
    <t>até</t>
  </si>
  <si>
    <r>
      <rPr>
        <sz val="9"/>
        <rFont val="Arial"/>
        <family val="2"/>
      </rPr>
      <t>BDI =</t>
    </r>
    <r>
      <rPr>
        <u/>
        <sz val="9"/>
        <rFont val="Arial"/>
        <family val="2"/>
      </rPr>
      <t> (1+AC)x(1+DF)x(1+(G+R))x(1+L</t>
    </r>
    <r>
      <rPr>
        <sz val="9"/>
        <rFont val="Arial"/>
        <family val="2"/>
      </rPr>
      <t xml:space="preserve">))  -1 1-T
</t>
    </r>
    <r>
      <rPr>
        <u/>
        <sz val="9"/>
        <rFont val="Arial"/>
        <family val="2"/>
      </rPr>
      <t>Observação</t>
    </r>
    <r>
      <rPr>
        <sz val="9"/>
        <rFont val="Arial"/>
        <family val="2"/>
      </rPr>
      <t>:
i)   Composição do BDI, intervalos admissíveis e Fórmula de cálculo nos termos do Acórdão 325/2007 do TCU.</t>
    </r>
  </si>
  <si>
    <t>Risco (R)</t>
  </si>
  <si>
    <t>Risco:</t>
  </si>
  <si>
    <t>Despesas financeiras (DF)</t>
  </si>
  <si>
    <t>Despesas financeiras:</t>
  </si>
  <si>
    <t>Administração Central (AC)</t>
  </si>
  <si>
    <t>Administração central:</t>
  </si>
  <si>
    <t>Lucro (L)</t>
  </si>
  <si>
    <t>Lucro:</t>
  </si>
  <si>
    <t>Tributos (T)</t>
  </si>
  <si>
    <t>Tributos:</t>
  </si>
  <si>
    <t>ITEM</t>
  </si>
  <si>
    <t>CÓDIGO</t>
  </si>
  <si>
    <t>FONTE</t>
  </si>
  <si>
    <t>DESCRIÇÃO DOS SERVIÇOS</t>
  </si>
  <si>
    <t>UN</t>
  </si>
  <si>
    <t>QUANT</t>
  </si>
  <si>
    <t>VALORES (R$)</t>
  </si>
  <si>
    <t>CUSTO</t>
  </si>
  <si>
    <t>PREÇO</t>
  </si>
  <si>
    <t>UNITÁRIO</t>
  </si>
  <si>
    <t>TOTAL ITEM</t>
  </si>
  <si>
    <t>1.1</t>
  </si>
  <si>
    <t>SINAPI</t>
  </si>
  <si>
    <t>FORNECIMENTO E INSTALAÇÃO DE PLACA DE IDENTIFICAÇÃO DA OBRA (3,0 x 1,0 m)</t>
  </si>
  <si>
    <t>SUB TOTAL:</t>
  </si>
  <si>
    <t>M2</t>
  </si>
  <si>
    <t>3.1</t>
  </si>
  <si>
    <t>TOTAL DA OBRA</t>
  </si>
  <si>
    <t>Responsável Técnico:</t>
  </si>
  <si>
    <t>MEMORIA DE CÁCULO</t>
  </si>
  <si>
    <t>OBJETO:</t>
  </si>
  <si>
    <t>LOCAL:</t>
  </si>
  <si>
    <t>1.0 SERVIÇOS PRELIMINARES</t>
  </si>
  <si>
    <t>CÓDIGO:</t>
  </si>
  <si>
    <t>LOGRADOURO</t>
  </si>
  <si>
    <t>Compr.</t>
  </si>
  <si>
    <t>Larg.</t>
  </si>
  <si>
    <t>Espessura</t>
  </si>
  <si>
    <t>Repet.</t>
  </si>
  <si>
    <t>Área Total (m²)</t>
  </si>
  <si>
    <t>OBS:</t>
  </si>
  <si>
    <t>TOTAL</t>
  </si>
  <si>
    <t>Cronograma Físico-Financeiro - Recursos do OGU - Setor Público</t>
  </si>
  <si>
    <t>Cronograma</t>
  </si>
  <si>
    <t>Programa:</t>
  </si>
  <si>
    <t>Modalidade:</t>
  </si>
  <si>
    <t>Empreendimentos:</t>
  </si>
  <si>
    <t>x</t>
  </si>
  <si>
    <t>Global</t>
  </si>
  <si>
    <t>Individual</t>
  </si>
  <si>
    <t>Agente Financeiro</t>
  </si>
  <si>
    <t>Empresa</t>
  </si>
  <si>
    <t>Valor do Repasse - R$</t>
  </si>
  <si>
    <t>Início da Obra</t>
  </si>
  <si>
    <t>ALR</t>
  </si>
  <si>
    <t>Localização</t>
  </si>
  <si>
    <t>Tipo de Serviço</t>
  </si>
  <si>
    <t>Item</t>
  </si>
  <si>
    <t>Discriminação dos Serviços</t>
  </si>
  <si>
    <t>Peso</t>
  </si>
  <si>
    <t>Vl. Obras/Serviços</t>
  </si>
  <si>
    <t>Mês 01</t>
  </si>
  <si>
    <t>Mês 02</t>
  </si>
  <si>
    <t>Mês 03</t>
  </si>
  <si>
    <t>%</t>
  </si>
  <si>
    <t>R$</t>
  </si>
  <si>
    <t>-</t>
  </si>
  <si>
    <t>Total</t>
  </si>
  <si>
    <t>Simples</t>
  </si>
  <si>
    <t>Acumulado</t>
  </si>
  <si>
    <t>Proponente:</t>
  </si>
  <si>
    <r>
      <rPr>
        <sz val="9"/>
        <rFont val="Arial"/>
        <family val="2"/>
      </rPr>
      <t>Regime de Execução:</t>
    </r>
  </si>
  <si>
    <r>
      <rPr>
        <sz val="9"/>
        <rFont val="Arial"/>
        <family val="2"/>
      </rPr>
      <t>AD = Administração Direta ; EG = Empreitada Global</t>
    </r>
  </si>
  <si>
    <r>
      <rPr>
        <sz val="9"/>
        <rFont val="Arial"/>
        <family val="2"/>
      </rPr>
      <t>Tipo de Contrapartida:</t>
    </r>
  </si>
  <si>
    <r>
      <rPr>
        <sz val="9"/>
        <rFont val="Arial"/>
        <family val="2"/>
      </rPr>
      <t>OS = Obras e Serviços ; F = Financeira</t>
    </r>
  </si>
  <si>
    <r>
      <rPr>
        <sz val="9"/>
        <rFont val="Arial"/>
        <family val="2"/>
      </rPr>
      <t>Proponente:</t>
    </r>
  </si>
  <si>
    <r>
      <rPr>
        <sz val="9"/>
        <rFont val="Arial"/>
        <family val="2"/>
      </rPr>
      <t>Empreendimento:</t>
    </r>
  </si>
  <si>
    <r>
      <rPr>
        <sz val="9"/>
        <rFont val="Arial"/>
        <family val="2"/>
      </rPr>
      <t>Item</t>
    </r>
  </si>
  <si>
    <r>
      <rPr>
        <sz val="9"/>
        <rFont val="Arial"/>
        <family val="2"/>
      </rPr>
      <t>Discriminação</t>
    </r>
  </si>
  <si>
    <r>
      <rPr>
        <sz val="9"/>
        <rFont val="Arial"/>
        <family val="2"/>
      </rPr>
      <t>Investimento total (em R$)</t>
    </r>
  </si>
  <si>
    <r>
      <rPr>
        <sz val="9"/>
        <rFont val="Arial"/>
        <family val="2"/>
      </rPr>
      <t>REGIME</t>
    </r>
  </si>
  <si>
    <r>
      <rPr>
        <sz val="9"/>
        <rFont val="Arial"/>
        <family val="2"/>
      </rPr>
      <t>TIPO CP</t>
    </r>
  </si>
  <si>
    <r>
      <rPr>
        <sz val="9"/>
        <rFont val="Arial"/>
        <family val="2"/>
      </rPr>
      <t>Outras fontes</t>
    </r>
  </si>
  <si>
    <r>
      <rPr>
        <sz val="9"/>
        <rFont val="Arial"/>
        <family val="2"/>
      </rPr>
      <t>TOTAL</t>
    </r>
  </si>
  <si>
    <r>
      <rPr>
        <sz val="9"/>
        <color rgb="FF0000FF"/>
        <rFont val="Arial"/>
        <family val="2"/>
      </rPr>
      <t>EG</t>
    </r>
  </si>
  <si>
    <r>
      <rPr>
        <sz val="9"/>
        <rFont val="Arial"/>
        <family val="2"/>
      </rPr>
      <t>F</t>
    </r>
  </si>
  <si>
    <r>
      <rPr>
        <sz val="9"/>
        <rFont val="Arial"/>
        <family val="2"/>
      </rPr>
      <t>-</t>
    </r>
  </si>
  <si>
    <t>2.1</t>
  </si>
  <si>
    <t>GABRIEL VINICIUS MARTINS</t>
  </si>
  <si>
    <t>3.3</t>
  </si>
  <si>
    <t>3.5</t>
  </si>
  <si>
    <t>ÁREA DA PLACA</t>
  </si>
  <si>
    <t>PLACA DE OBRA EM CHAPA DE ACO GALVANIZADO</t>
  </si>
  <si>
    <t>DESCRIÇÃO:</t>
  </si>
  <si>
    <t>Área Total (m2)</t>
  </si>
  <si>
    <t>ENGENHEIRO CIVIL - CREA MG 230779/D</t>
  </si>
  <si>
    <t xml:space="preserve">Seguro + Garantia </t>
  </si>
  <si>
    <t>Seguro + Garantia:</t>
  </si>
  <si>
    <t>3.6</t>
  </si>
  <si>
    <t>Volume Total (m3)</t>
  </si>
  <si>
    <t xml:space="preserve">DESCRIÇÃO: </t>
  </si>
  <si>
    <t>3.2</t>
  </si>
  <si>
    <t>(   ) NÃO DESONERADO ( X ) DESONERADO</t>
  </si>
  <si>
    <t>QCI - Quadro de Composição do Investimento</t>
  </si>
  <si>
    <t>M3</t>
  </si>
  <si>
    <t>KG</t>
  </si>
  <si>
    <t>REATERRO MANUAL DE VALAS COM COMPACTAÇÃO MECANIZADA. AF_04/2016</t>
  </si>
  <si>
    <t>CONCRETO FCK = 30MPA, TRAÇO 1:2,1:2,5 (CIMENTO/ AREIA MÉDIA/ BRITA 1)- PREPARO MECÂNICO COM BETONEIRA 400 L. AF_07/2016</t>
  </si>
  <si>
    <t>CORTE E DOBRA DE AÇO CA-60, DIÂMETRO DE 5,0 MM, UTILIZADO EM ESTRUTURA DIVERSAS, EXCETO LAJES. AF_12/2015</t>
  </si>
  <si>
    <t>Área (m2)</t>
  </si>
  <si>
    <t>Total (Kg)</t>
  </si>
  <si>
    <t>Volume (m3)</t>
  </si>
  <si>
    <t>Nº de Lados</t>
  </si>
  <si>
    <t>Peso (Kg)</t>
  </si>
  <si>
    <t>REGULARIZAÇÃO E COMPACTAÇÃO DE SUBLEITO DE SOLO PREDOMINANTEMENTE ARG. AF_11/2019</t>
  </si>
  <si>
    <t>2.0</t>
  </si>
  <si>
    <t>3.0</t>
  </si>
  <si>
    <t>1.0</t>
  </si>
  <si>
    <t xml:space="preserve">        CREA:</t>
  </si>
  <si>
    <t>Total (M2)</t>
  </si>
  <si>
    <t>Volume de escavação (m3)</t>
  </si>
  <si>
    <t>Volume de concreto (m3)</t>
  </si>
  <si>
    <t>VOLUME DE ESCAVAÇÃO- (VOLUME DE LASTRO + VOLUME DE CONCRETO)</t>
  </si>
  <si>
    <t>Volume Total (M3)</t>
  </si>
  <si>
    <t>MURO</t>
  </si>
  <si>
    <t>60X60</t>
  </si>
  <si>
    <t>SAPATA</t>
  </si>
  <si>
    <t>PILAR</t>
  </si>
  <si>
    <t>BALDRAME</t>
  </si>
  <si>
    <t>Peso Kg</t>
  </si>
  <si>
    <t>ESTRIBO SAPATA</t>
  </si>
  <si>
    <t>ESTRIBO PILAR</t>
  </si>
  <si>
    <t>ESTRIBO BALDRAME</t>
  </si>
  <si>
    <t>Alt.</t>
  </si>
  <si>
    <t>Volume total (M3)</t>
  </si>
  <si>
    <t>observação</t>
  </si>
  <si>
    <t>VIGA BALDRAME</t>
  </si>
  <si>
    <t>0,6X0,6</t>
  </si>
  <si>
    <t>PILARES</t>
  </si>
  <si>
    <t>Esp.</t>
  </si>
  <si>
    <t>Área Total (M2)</t>
  </si>
  <si>
    <t>Logradouro</t>
  </si>
  <si>
    <t>Larg</t>
  </si>
  <si>
    <t>Vol.(m3)</t>
  </si>
  <si>
    <t xml:space="preserve">Vol total (m3) </t>
  </si>
  <si>
    <t>Ø 5.0</t>
  </si>
  <si>
    <t>CORTE E DOBRA DE AÇO CA-50, DIÂMETRO DE 10,0 MM, UTILIZADO EM ESTRUTURAS DIVERSAS, EXCETO LAJES. AF_12/2015</t>
  </si>
  <si>
    <t>Ø 10.0</t>
  </si>
  <si>
    <t>CORTE E DOBRA DE AÇO CA-50, DIÂMETRO DE 8,0 MM, UTILIZADO EM ESTRUTURA  DIVERSAS, EXCETO LAJES. AF_12/2015</t>
  </si>
  <si>
    <t>CONCRETO FCK = 25MPA, TRAÇO 1:2,3:2,7 (CIMENTO/ AREIA MÉDIA/ BRITA 1) - PREPARO MECÂNICO COM BETONEIRA 400 L. AF_07/2016</t>
  </si>
  <si>
    <t>TOTAL (M2)</t>
  </si>
  <si>
    <t>MURO VEDAÇÃO</t>
  </si>
  <si>
    <t>PILARES (lado 0,26m)</t>
  </si>
  <si>
    <t>Comp.</t>
  </si>
  <si>
    <t>Altura</t>
  </si>
  <si>
    <t>ÁREA (M2)</t>
  </si>
  <si>
    <t>SETOP</t>
  </si>
  <si>
    <t xml:space="preserve">ED-48232 </t>
  </si>
  <si>
    <t xml:space="preserve">ALVENARIA DE VEDAÇÃO COM TIJOLO CERÂMICO FURADO, ESP.
14CM, PARA REVESTIMENTO, INCLUSIVE ARGAMASSA PARA
ASSENTAMENTO
</t>
  </si>
  <si>
    <t>ARRANQUE SAPATA</t>
  </si>
  <si>
    <t>ED-49647</t>
  </si>
  <si>
    <t xml:space="preserve">FORMA E DESFORMA DE COMPENSADO PLASTIFICADO, ESP.
12MM, REAPROVEITAMENTO (5X), EXCLUSIVE ESCORAMENTO </t>
  </si>
  <si>
    <t>PAG 01/01</t>
  </si>
  <si>
    <t>PROPONENTE</t>
  </si>
  <si>
    <t>Desconto (M2)</t>
  </si>
  <si>
    <t>(+ 010 CM DE CADA LADO PARA ARMAÇÃO DAS FORMAS)</t>
  </si>
  <si>
    <t>DESCRIÇÃO</t>
  </si>
  <si>
    <t>2.7</t>
  </si>
  <si>
    <t>2.9</t>
  </si>
  <si>
    <t>2.10</t>
  </si>
  <si>
    <t>2.11</t>
  </si>
  <si>
    <t>3.0 SUPER ESTRUTURA E ALVENARIA</t>
  </si>
  <si>
    <t>2.6</t>
  </si>
  <si>
    <t>2.5</t>
  </si>
  <si>
    <t>2.4</t>
  </si>
  <si>
    <t>2.3</t>
  </si>
  <si>
    <t>2.2</t>
  </si>
  <si>
    <t>2.0 TERRAPLANAGEM E FUNDAÇÃO</t>
  </si>
  <si>
    <t>MAIS 5 CM DE ALTURA PARA LASTRO</t>
  </si>
  <si>
    <t>PREFEITURA MUNICIPAL DE JAPONVAR / MG</t>
  </si>
  <si>
    <t>PREFEITURA MUNICIPAL DE JAPONVAR</t>
  </si>
  <si>
    <t>PILARES (lado 0,14m)</t>
  </si>
  <si>
    <t>DETALHAMENTO DO BDI - SERVIÇOS</t>
  </si>
  <si>
    <t xml:space="preserve"> </t>
  </si>
  <si>
    <t>Descrição dos Serviços</t>
  </si>
  <si>
    <t>PV</t>
  </si>
  <si>
    <t>CD</t>
  </si>
  <si>
    <t>ADMINISTRAÇÃO CENTRAL</t>
  </si>
  <si>
    <t>ESCRITÓRIO CENTRAL</t>
  </si>
  <si>
    <t>1.2</t>
  </si>
  <si>
    <t>VIAGENS</t>
  </si>
  <si>
    <t>1.3</t>
  </si>
  <si>
    <t>OUTROS</t>
  </si>
  <si>
    <t>IMPOSTOS E TAXAS</t>
  </si>
  <si>
    <t>ISS</t>
  </si>
  <si>
    <t>PIS</t>
  </si>
  <si>
    <t>Cofins</t>
  </si>
  <si>
    <t>CONTRIBUIÇÃO PREVIDENCIÁRIA SOBRE A RENDA BRUTA</t>
  </si>
  <si>
    <t>TAXA DE RISCO</t>
  </si>
  <si>
    <t xml:space="preserve">SEGURO </t>
  </si>
  <si>
    <t>RISCO</t>
  </si>
  <si>
    <t>GARANTIA</t>
  </si>
  <si>
    <t>DESPESAS FINANCEIRAS</t>
  </si>
  <si>
    <t>LUCRO</t>
  </si>
  <si>
    <t>BDI - CALCULADO</t>
  </si>
  <si>
    <t>BDI = ((1+((AC+S+R+G)/100))x(1+DF/100)x(1+L/100)/(1-I/100)-1)*100</t>
  </si>
  <si>
    <t>BDI (CALCULADO):</t>
  </si>
  <si>
    <t>Para o preenchimento da proposta deve-se utilizar o valor de ISS da Prefeitura Local.</t>
  </si>
  <si>
    <t>BDI EM CONFORMIDADE COM OS ACÓRDÃOS Nº 2369/2011 e ACÓRDÃO Nº 2.622/2013 - TCU - PLENÁRIO</t>
  </si>
  <si>
    <t>ENGENHEIRO CIVIL - CREA-MG 230779/D</t>
  </si>
  <si>
    <t>LEONARDO DURAES DE ALMEIDA</t>
  </si>
  <si>
    <t>PREFEITO MUNICIPAL</t>
  </si>
  <si>
    <t>DISTRITO DE NOVA MINDA/ JAPONVAR - MG</t>
  </si>
  <si>
    <t>Local/ Município</t>
  </si>
  <si>
    <t>CONSTRUÇÃO DO MURO DO CEMITÉRIO NO DISTRITO DE NOVA MINDA, JAPONVAR/MG</t>
  </si>
  <si>
    <t>0,6*0,6*0,25</t>
  </si>
  <si>
    <t>0,26*0,14*0,75</t>
  </si>
  <si>
    <t>3 em 3 metros</t>
  </si>
  <si>
    <t>DESCRIÇÃO DOS VOLUMES</t>
  </si>
  <si>
    <t>339.58*0,3*0,2</t>
  </si>
  <si>
    <t>Desconto pilares</t>
  </si>
  <si>
    <t>ESCAVAÇÃO MECÂNICA DE VALAS COM DESCARGA LATERAL H
&lt;= 1,50 M</t>
  </si>
  <si>
    <t xml:space="preserve">ED-51111 </t>
  </si>
  <si>
    <t xml:space="preserve">LASTRO DE CONCRETO MAGRO, INCLUSIVE TRANSPORTE,
LANÇAMENTO E ADENSAMENTO </t>
  </si>
  <si>
    <t xml:space="preserve">ED-49812 </t>
  </si>
  <si>
    <t>SINAPI MARÇO/2020 E SETOP JANEIRO/2020</t>
  </si>
  <si>
    <t>68.12+98.26+30.43+38.90+102.87</t>
  </si>
  <si>
    <t xml:space="preserve"> 0,26*1,5*112</t>
  </si>
  <si>
    <t>ITEM:</t>
  </si>
  <si>
    <t>Área (m²)</t>
  </si>
  <si>
    <t xml:space="preserve">Area total (m2) </t>
  </si>
  <si>
    <t>4.0</t>
  </si>
  <si>
    <t>3.4</t>
  </si>
  <si>
    <t>4.1</t>
  </si>
  <si>
    <t>Declaro para os devidos fins que os itens apresentados neste Orçamento Discriminativo estão com os quantitativos compatíveis com os projetos / especificações técnicas que compõem a proposta do referido Contrato de Repasse e os custos unitários previstos são iguais ou inferiores à mediana do SINAPI e SETOP atendendo, portanto, à Lei de Diretrizes Orçamentárias - LDO em vigor.</t>
  </si>
  <si>
    <t>LOCAL E DATA: JAPONVAR/MG, JULHO DE 2020</t>
  </si>
  <si>
    <t>SUPERESTRUTURA E ALVENARIA DO MURO DE FECHAMENTO</t>
  </si>
  <si>
    <t>TERRAPLANAGEM E FUNDAÇÃO DO MURO DE FECHAMENTO</t>
  </si>
  <si>
    <t>SERVIÇOS PRELIMINARES DO MURO DE FECHAMENTO</t>
  </si>
  <si>
    <t>______________________________________________</t>
  </si>
  <si>
    <t>___________________________________________</t>
  </si>
  <si>
    <t>ESQUADRIA</t>
  </si>
  <si>
    <t>PORTÃO DE FERRO PADRÃO, EM CHAPA (TIPO LAMBRI), COLOCADO COM CADEADO</t>
  </si>
  <si>
    <t>ED-50982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</si>
</sst>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* #,##0.00_-;\-* #,##0.00_-;_-* \-??_-;_-@_-"/>
    <numFmt numFmtId="165" formatCode="_(&quot;R$ &quot;* #,##0.00_);_(&quot;R$ &quot;* \(#,##0.00\);_(&quot;R$ &quot;* &quot;-&quot;??_);_(@_)"/>
    <numFmt numFmtId="166" formatCode="&quot;R$ &quot;#,##0.00_);[Red]\(&quot;R$ &quot;#,##0.00\)"/>
    <numFmt numFmtId="167" formatCode="#,##0.000"/>
    <numFmt numFmtId="168" formatCode="&quot;R$ &quot;#,##0.00"/>
  </numFmts>
  <fonts count="39" x14ac:knownFonts="1">
    <font>
      <sz val="10"/>
      <color rgb="FF000000"/>
      <name val="Times New Roman"/>
      <charset val="204"/>
    </font>
    <font>
      <sz val="10"/>
      <color rgb="FF000000"/>
      <name val="Times New Roman"/>
      <family val="1"/>
    </font>
    <font>
      <b/>
      <sz val="9"/>
      <name val="Arial"/>
      <family val="2"/>
    </font>
    <font>
      <sz val="9"/>
      <color rgb="FF000000"/>
      <name val="Times New Roman"/>
      <family val="1"/>
    </font>
    <font>
      <b/>
      <sz val="9"/>
      <color rgb="FFFFFFFF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u/>
      <sz val="9"/>
      <name val="Arial"/>
      <family val="2"/>
    </font>
    <font>
      <sz val="9"/>
      <name val="Arial"/>
      <family val="2"/>
    </font>
    <font>
      <sz val="9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rgb="FF000000"/>
      <name val="Calibri"/>
      <family val="2"/>
      <charset val="1"/>
    </font>
    <font>
      <sz val="10"/>
      <color rgb="FF000000"/>
      <name val="Times New Roman"/>
      <family val="1"/>
    </font>
    <font>
      <sz val="8"/>
      <name val="Times New Roman"/>
      <family val="1"/>
    </font>
    <font>
      <sz val="12"/>
      <name val="Arial"/>
      <family val="2"/>
    </font>
    <font>
      <sz val="12"/>
      <color rgb="FF000000"/>
      <name val="Arial"/>
      <family val="2"/>
    </font>
    <font>
      <b/>
      <sz val="10"/>
      <color rgb="FF000000"/>
      <name val="Arial"/>
      <family val="2"/>
    </font>
    <font>
      <b/>
      <sz val="18"/>
      <color theme="0"/>
      <name val="Arial"/>
      <family val="2"/>
    </font>
    <font>
      <b/>
      <sz val="11"/>
      <color theme="0"/>
      <name val="Arial"/>
      <family val="2"/>
    </font>
    <font>
      <b/>
      <sz val="20"/>
      <color theme="0"/>
      <name val="Arial"/>
      <family val="2"/>
    </font>
    <font>
      <b/>
      <sz val="28"/>
      <color theme="0"/>
      <name val="Arial"/>
      <family val="2"/>
    </font>
    <font>
      <b/>
      <sz val="22"/>
      <color theme="0"/>
      <name val="Arial"/>
      <family val="2"/>
    </font>
    <font>
      <b/>
      <sz val="12"/>
      <color theme="0"/>
      <name val="Arial"/>
      <family val="2"/>
    </font>
    <font>
      <sz val="9"/>
      <name val="Calibri"/>
      <family val="2"/>
      <scheme val="minor"/>
    </font>
    <font>
      <sz val="8"/>
      <name val="Arial"/>
      <family val="2"/>
    </font>
    <font>
      <sz val="9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Arial"/>
      <family val="2"/>
    </font>
    <font>
      <sz val="10"/>
      <color rgb="FFFF0000"/>
      <name val="Arial"/>
      <family val="2"/>
    </font>
    <font>
      <b/>
      <sz val="16"/>
      <name val="Times New Roman"/>
      <family val="1"/>
    </font>
    <font>
      <sz val="10"/>
      <color theme="1"/>
      <name val="Times New Roman"/>
      <family val="1"/>
    </font>
    <font>
      <b/>
      <sz val="10"/>
      <color rgb="FF000000"/>
      <name val="Times New Roman"/>
      <family val="1"/>
    </font>
    <font>
      <sz val="8"/>
      <name val="Times New Roman"/>
      <charset val="204"/>
    </font>
    <font>
      <sz val="11"/>
      <name val="Arial"/>
      <family val="2"/>
    </font>
    <font>
      <sz val="11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0C0C0"/>
      </patternFill>
    </fill>
    <fill>
      <patternFill patternType="solid">
        <fgColor rgb="FFD7E3BB"/>
      </patternFill>
    </fill>
    <fill>
      <patternFill patternType="solid">
        <fgColor rgb="FFD9D9D9"/>
      </patternFill>
    </fill>
    <fill>
      <patternFill patternType="solid">
        <fgColor rgb="FFC4BC96"/>
      </patternFill>
    </fill>
    <fill>
      <patternFill patternType="solid">
        <fgColor rgb="FF92D050"/>
      </patternFill>
    </fill>
    <fill>
      <patternFill patternType="solid">
        <fgColor rgb="FF92D05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rgb="FF000000"/>
      </left>
      <right style="thick">
        <color indexed="64"/>
      </right>
      <top/>
      <bottom style="thin">
        <color rgb="FF000000"/>
      </bottom>
      <diagonal/>
    </border>
    <border>
      <left/>
      <right/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/>
      <top style="thin">
        <color rgb="FF000000"/>
      </top>
      <bottom style="thick">
        <color indexed="64"/>
      </bottom>
      <diagonal/>
    </border>
    <border>
      <left/>
      <right style="thin">
        <color rgb="FF000000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/>
      <bottom style="thin">
        <color indexed="64"/>
      </bottom>
      <diagonal/>
    </border>
    <border>
      <left style="thin">
        <color rgb="FF000000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 style="thin">
        <color rgb="FF000000"/>
      </bottom>
      <diagonal/>
    </border>
    <border>
      <left style="thin">
        <color rgb="FF000000"/>
      </left>
      <right/>
      <top style="thick">
        <color indexed="64"/>
      </top>
      <bottom style="thin">
        <color rgb="FF000000"/>
      </bottom>
      <diagonal/>
    </border>
    <border>
      <left/>
      <right/>
      <top style="thick">
        <color indexed="64"/>
      </top>
      <bottom style="thin">
        <color rgb="FF000000"/>
      </bottom>
      <diagonal/>
    </border>
    <border>
      <left/>
      <right style="thick">
        <color indexed="64"/>
      </right>
      <top style="thick">
        <color indexed="64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thick">
        <color indexed="64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indexed="64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ck">
        <color indexed="64"/>
      </left>
      <right/>
      <top style="thick">
        <color indexed="64"/>
      </top>
      <bottom style="thin">
        <color rgb="FF000000"/>
      </bottom>
      <diagonal/>
    </border>
    <border>
      <left/>
      <right style="medium">
        <color indexed="64"/>
      </right>
      <top style="thick">
        <color indexed="64"/>
      </top>
      <bottom style="thin">
        <color rgb="FF000000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rgb="FF000000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" fillId="0" borderId="0"/>
    <xf numFmtId="0" fontId="15" fillId="0" borderId="0"/>
    <xf numFmtId="164" fontId="15" fillId="0" borderId="0"/>
    <xf numFmtId="44" fontId="16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3" fillId="0" borderId="0"/>
    <xf numFmtId="166" fontId="13" fillId="0" borderId="0" applyFont="0" applyFill="0" applyBorder="0" applyAlignment="0" applyProtection="0"/>
  </cellStyleXfs>
  <cellXfs count="707">
    <xf numFmtId="0" fontId="0" fillId="0" borderId="0" xfId="0" applyFill="1" applyBorder="1" applyAlignment="1">
      <alignment horizontal="left" vertical="top"/>
    </xf>
    <xf numFmtId="0" fontId="5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10" fontId="8" fillId="0" borderId="14" xfId="0" applyNumberFormat="1" applyFont="1" applyFill="1" applyBorder="1" applyAlignment="1">
      <alignment horizontal="right" vertical="center" shrinkToFit="1"/>
    </xf>
    <xf numFmtId="10" fontId="8" fillId="0" borderId="15" xfId="0" applyNumberFormat="1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right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12" xfId="0" applyFont="1" applyFill="1" applyBorder="1" applyAlignment="1">
      <alignment horizontal="right" vertical="top" wrapText="1" indent="2"/>
    </xf>
    <xf numFmtId="0" fontId="10" fillId="0" borderId="1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left" wrapText="1"/>
    </xf>
    <xf numFmtId="2" fontId="5" fillId="0" borderId="12" xfId="0" applyNumberFormat="1" applyFont="1" applyFill="1" applyBorder="1" applyAlignment="1">
      <alignment horizontal="center" vertical="center" shrinkToFit="1"/>
    </xf>
    <xf numFmtId="1" fontId="5" fillId="0" borderId="12" xfId="0" applyNumberFormat="1" applyFont="1" applyFill="1" applyBorder="1" applyAlignment="1">
      <alignment horizontal="center" vertical="center" shrinkToFit="1"/>
    </xf>
    <xf numFmtId="2" fontId="2" fillId="7" borderId="12" xfId="0" applyNumberFormat="1" applyFont="1" applyFill="1" applyBorder="1" applyAlignment="1">
      <alignment horizontal="center" vertical="center" shrinkToFit="1"/>
    </xf>
    <xf numFmtId="4" fontId="5" fillId="0" borderId="12" xfId="0" applyNumberFormat="1" applyFont="1" applyFill="1" applyBorder="1" applyAlignment="1">
      <alignment horizontal="center" vertical="center" shrinkToFit="1"/>
    </xf>
    <xf numFmtId="4" fontId="2" fillId="7" borderId="12" xfId="0" applyNumberFormat="1" applyFont="1" applyFill="1" applyBorder="1" applyAlignment="1">
      <alignment horizontal="center" vertical="center" shrinkToFit="1"/>
    </xf>
    <xf numFmtId="4" fontId="0" fillId="0" borderId="0" xfId="0" applyNumberFormat="1" applyFill="1" applyBorder="1" applyAlignment="1">
      <alignment horizontal="left" vertical="top"/>
    </xf>
    <xf numFmtId="0" fontId="0" fillId="0" borderId="19" xfId="0" applyFill="1" applyBorder="1" applyAlignment="1">
      <alignment horizontal="left" wrapText="1"/>
    </xf>
    <xf numFmtId="0" fontId="0" fillId="0" borderId="20" xfId="0" applyFill="1" applyBorder="1" applyAlignment="1">
      <alignment horizontal="left" wrapText="1"/>
    </xf>
    <xf numFmtId="1" fontId="8" fillId="0" borderId="43" xfId="0" applyNumberFormat="1" applyFont="1" applyFill="1" applyBorder="1" applyAlignment="1">
      <alignment horizontal="right" vertical="top" shrinkToFit="1"/>
    </xf>
    <xf numFmtId="0" fontId="10" fillId="0" borderId="44" xfId="0" applyFont="1" applyFill="1" applyBorder="1" applyAlignment="1">
      <alignment horizontal="center" vertical="top" wrapText="1"/>
    </xf>
    <xf numFmtId="0" fontId="0" fillId="0" borderId="43" xfId="0" applyFill="1" applyBorder="1" applyAlignment="1">
      <alignment horizontal="left" wrapText="1"/>
    </xf>
    <xf numFmtId="0" fontId="0" fillId="0" borderId="44" xfId="0" applyFill="1" applyBorder="1" applyAlignment="1">
      <alignment horizontal="left" wrapText="1"/>
    </xf>
    <xf numFmtId="0" fontId="2" fillId="0" borderId="43" xfId="0" applyFont="1" applyFill="1" applyBorder="1" applyAlignment="1">
      <alignment horizontal="left" vertical="center" wrapText="1"/>
    </xf>
    <xf numFmtId="0" fontId="2" fillId="6" borderId="4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5" fillId="0" borderId="44" xfId="0" applyFont="1" applyFill="1" applyBorder="1" applyAlignment="1">
      <alignment horizontal="left" vertical="center" wrapText="1"/>
    </xf>
    <xf numFmtId="0" fontId="5" fillId="2" borderId="42" xfId="0" applyFont="1" applyFill="1" applyBorder="1" applyAlignment="1">
      <alignment horizontal="center" vertical="center" wrapText="1"/>
    </xf>
    <xf numFmtId="1" fontId="7" fillId="0" borderId="43" xfId="0" applyNumberFormat="1" applyFont="1" applyFill="1" applyBorder="1" applyAlignment="1">
      <alignment horizontal="center" vertical="center" shrinkToFit="1"/>
    </xf>
    <xf numFmtId="0" fontId="5" fillId="0" borderId="43" xfId="0" applyFont="1" applyFill="1" applyBorder="1" applyAlignment="1">
      <alignment horizontal="center" vertical="center" wrapText="1"/>
    </xf>
    <xf numFmtId="0" fontId="3" fillId="4" borderId="43" xfId="0" applyFont="1" applyFill="1" applyBorder="1" applyAlignment="1">
      <alignment horizontal="left" vertical="center" wrapText="1"/>
    </xf>
    <xf numFmtId="0" fontId="6" fillId="4" borderId="43" xfId="0" applyFont="1" applyFill="1" applyBorder="1" applyAlignment="1">
      <alignment horizontal="left" vertical="center" wrapText="1"/>
    </xf>
    <xf numFmtId="1" fontId="2" fillId="0" borderId="43" xfId="0" applyNumberFormat="1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left" vertical="center" wrapText="1"/>
    </xf>
    <xf numFmtId="0" fontId="3" fillId="0" borderId="32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left" vertical="center" wrapText="1"/>
    </xf>
    <xf numFmtId="0" fontId="3" fillId="0" borderId="33" xfId="0" applyFont="1" applyFill="1" applyBorder="1" applyAlignment="1">
      <alignment horizontal="right" vertical="center" wrapText="1"/>
    </xf>
    <xf numFmtId="0" fontId="3" fillId="0" borderId="34" xfId="0" applyFont="1" applyFill="1" applyBorder="1" applyAlignment="1">
      <alignment horizontal="right" vertical="center" wrapText="1"/>
    </xf>
    <xf numFmtId="44" fontId="8" fillId="0" borderId="12" xfId="6" applyFont="1" applyFill="1" applyBorder="1" applyAlignment="1">
      <alignment horizontal="right" vertical="top" shrinkToFit="1"/>
    </xf>
    <xf numFmtId="0" fontId="3" fillId="1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left" vertical="center" wrapText="1"/>
    </xf>
    <xf numFmtId="0" fontId="5" fillId="10" borderId="0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right" vertical="top" wrapText="1"/>
    </xf>
    <xf numFmtId="0" fontId="0" fillId="0" borderId="19" xfId="0" applyFill="1" applyBorder="1" applyAlignment="1">
      <alignment horizontal="left" vertical="top"/>
    </xf>
    <xf numFmtId="0" fontId="0" fillId="0" borderId="20" xfId="0" applyFill="1" applyBorder="1" applyAlignment="1">
      <alignment horizontal="left" vertical="top"/>
    </xf>
    <xf numFmtId="0" fontId="0" fillId="0" borderId="34" xfId="0" applyFill="1" applyBorder="1" applyAlignment="1">
      <alignment horizontal="left" vertical="top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right" vertical="center" shrinkToFit="1"/>
    </xf>
    <xf numFmtId="2" fontId="8" fillId="0" borderId="12" xfId="0" applyNumberFormat="1" applyFont="1" applyFill="1" applyBorder="1" applyAlignment="1">
      <alignment horizontal="right" vertical="center" shrinkToFit="1"/>
    </xf>
    <xf numFmtId="0" fontId="14" fillId="6" borderId="12" xfId="0" applyFont="1" applyFill="1" applyBorder="1" applyAlignment="1">
      <alignment horizontal="center" vertical="center" wrapText="1"/>
    </xf>
    <xf numFmtId="1" fontId="14" fillId="9" borderId="12" xfId="0" applyNumberFormat="1" applyFont="1" applyFill="1" applyBorder="1" applyAlignment="1">
      <alignment horizontal="center" vertical="center" shrinkToFit="1"/>
    </xf>
    <xf numFmtId="0" fontId="14" fillId="9" borderId="12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/>
    </xf>
    <xf numFmtId="17" fontId="5" fillId="0" borderId="0" xfId="0" applyNumberFormat="1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vertical="top" wrapText="1"/>
    </xf>
    <xf numFmtId="0" fontId="18" fillId="0" borderId="20" xfId="0" applyFont="1" applyFill="1" applyBorder="1" applyAlignment="1">
      <alignment vertical="top" wrapText="1"/>
    </xf>
    <xf numFmtId="10" fontId="19" fillId="0" borderId="0" xfId="1" applyNumberFormat="1" applyFont="1" applyFill="1" applyBorder="1" applyAlignment="1">
      <alignment horizontal="left" wrapText="1"/>
    </xf>
    <xf numFmtId="10" fontId="19" fillId="0" borderId="0" xfId="1" applyNumberFormat="1" applyFont="1" applyFill="1" applyBorder="1" applyAlignment="1">
      <alignment horizontal="right" vertical="top" shrinkToFit="1"/>
    </xf>
    <xf numFmtId="0" fontId="18" fillId="0" borderId="36" xfId="0" applyFont="1" applyFill="1" applyBorder="1" applyAlignment="1">
      <alignment horizontal="left" vertical="top" wrapText="1"/>
    </xf>
    <xf numFmtId="0" fontId="18" fillId="0" borderId="21" xfId="0" applyFont="1" applyFill="1" applyBorder="1" applyAlignment="1">
      <alignment vertical="top" wrapText="1"/>
    </xf>
    <xf numFmtId="0" fontId="18" fillId="0" borderId="0" xfId="0" applyFont="1" applyFill="1" applyBorder="1" applyAlignment="1">
      <alignment horizontal="center" vertical="center" wrapText="1"/>
    </xf>
    <xf numFmtId="10" fontId="19" fillId="0" borderId="0" xfId="1" applyNumberFormat="1" applyFont="1" applyBorder="1" applyAlignment="1">
      <alignment horizontal="center" vertical="top" shrinkToFit="1"/>
    </xf>
    <xf numFmtId="10" fontId="19" fillId="0" borderId="0" xfId="9" applyNumberFormat="1" applyFont="1" applyBorder="1" applyAlignment="1">
      <alignment horizontal="center" vertical="top" shrinkToFit="1"/>
    </xf>
    <xf numFmtId="44" fontId="19" fillId="0" borderId="0" xfId="6" applyFont="1" applyBorder="1" applyAlignment="1">
      <alignment horizontal="center" vertical="top" shrinkToFit="1"/>
    </xf>
    <xf numFmtId="10" fontId="19" fillId="0" borderId="8" xfId="1" applyNumberFormat="1" applyFont="1" applyFill="1" applyBorder="1" applyAlignment="1">
      <alignment horizontal="right" vertical="top" shrinkToFit="1"/>
    </xf>
    <xf numFmtId="9" fontId="19" fillId="0" borderId="65" xfId="0" applyNumberFormat="1" applyFont="1" applyFill="1" applyBorder="1" applyAlignment="1">
      <alignment horizontal="right" vertical="top" shrinkToFit="1"/>
    </xf>
    <xf numFmtId="10" fontId="19" fillId="0" borderId="12" xfId="1" applyNumberFormat="1" applyFont="1" applyFill="1" applyBorder="1" applyAlignment="1">
      <alignment horizontal="right" vertical="top" shrinkToFit="1"/>
    </xf>
    <xf numFmtId="9" fontId="19" fillId="0" borderId="62" xfId="0" applyNumberFormat="1" applyFont="1" applyFill="1" applyBorder="1" applyAlignment="1">
      <alignment horizontal="right" vertical="top" shrinkToFit="1"/>
    </xf>
    <xf numFmtId="9" fontId="19" fillId="0" borderId="12" xfId="1" applyFont="1" applyBorder="1" applyAlignment="1">
      <alignment horizontal="center" vertical="top" shrinkToFit="1"/>
    </xf>
    <xf numFmtId="10" fontId="19" fillId="0" borderId="62" xfId="1" applyNumberFormat="1" applyFont="1" applyBorder="1" applyAlignment="1">
      <alignment horizontal="center" vertical="top" shrinkToFit="1"/>
    </xf>
    <xf numFmtId="10" fontId="19" fillId="0" borderId="44" xfId="1" applyNumberFormat="1" applyFont="1" applyBorder="1" applyAlignment="1">
      <alignment horizontal="center" vertical="top" shrinkToFit="1"/>
    </xf>
    <xf numFmtId="9" fontId="19" fillId="0" borderId="67" xfId="1" applyFont="1" applyBorder="1" applyAlignment="1">
      <alignment horizontal="center" vertical="top" shrinkToFit="1"/>
    </xf>
    <xf numFmtId="10" fontId="19" fillId="0" borderId="69" xfId="1" applyNumberFormat="1" applyFont="1" applyBorder="1" applyAlignment="1">
      <alignment horizontal="center" vertical="top" shrinkToFit="1"/>
    </xf>
    <xf numFmtId="2" fontId="19" fillId="0" borderId="0" xfId="0" applyNumberFormat="1" applyFont="1" applyFill="1" applyBorder="1" applyAlignment="1">
      <alignment horizontal="right" vertical="top" shrinkToFit="1"/>
    </xf>
    <xf numFmtId="44" fontId="19" fillId="0" borderId="0" xfId="6" applyFont="1" applyFill="1" applyBorder="1" applyAlignment="1">
      <alignment horizontal="right" vertical="top" shrinkToFit="1"/>
    </xf>
    <xf numFmtId="44" fontId="19" fillId="0" borderId="0" xfId="6" applyFont="1" applyFill="1" applyBorder="1" applyAlignment="1">
      <alignment horizontal="left" vertical="top" indent="1" shrinkToFit="1"/>
    </xf>
    <xf numFmtId="10" fontId="19" fillId="0" borderId="0" xfId="0" applyNumberFormat="1" applyFont="1" applyFill="1" applyBorder="1" applyAlignment="1">
      <alignment horizontal="right" vertical="top" shrinkToFit="1"/>
    </xf>
    <xf numFmtId="4" fontId="19" fillId="0" borderId="0" xfId="0" applyNumberFormat="1" applyFont="1" applyFill="1" applyBorder="1" applyAlignment="1">
      <alignment horizontal="left" vertical="top" indent="1" shrinkToFit="1"/>
    </xf>
    <xf numFmtId="0" fontId="18" fillId="0" borderId="19" xfId="0" applyFont="1" applyFill="1" applyBorder="1" applyAlignment="1">
      <alignment horizontal="left" vertical="top" wrapText="1"/>
    </xf>
    <xf numFmtId="44" fontId="18" fillId="0" borderId="0" xfId="0" applyNumberFormat="1" applyFont="1" applyFill="1" applyBorder="1" applyAlignment="1">
      <alignment horizontal="right" vertical="top" wrapText="1" indent="1"/>
    </xf>
    <xf numFmtId="44" fontId="19" fillId="0" borderId="8" xfId="6" applyFont="1" applyFill="1" applyBorder="1" applyAlignment="1">
      <alignment horizontal="left" vertical="top" shrinkToFit="1"/>
    </xf>
    <xf numFmtId="44" fontId="19" fillId="0" borderId="12" xfId="6" applyFont="1" applyFill="1" applyBorder="1" applyAlignment="1">
      <alignment horizontal="left" vertical="top" shrinkToFit="1"/>
    </xf>
    <xf numFmtId="44" fontId="19" fillId="0" borderId="12" xfId="6" applyFont="1" applyBorder="1" applyAlignment="1">
      <alignment horizontal="left" vertical="top" shrinkToFit="1"/>
    </xf>
    <xf numFmtId="44" fontId="19" fillId="0" borderId="67" xfId="6" applyFont="1" applyBorder="1" applyAlignment="1">
      <alignment horizontal="left" vertical="top" shrinkToFit="1"/>
    </xf>
    <xf numFmtId="10" fontId="18" fillId="0" borderId="65" xfId="1" applyNumberFormat="1" applyFont="1" applyFill="1" applyBorder="1" applyAlignment="1">
      <alignment horizontal="center" vertical="top" wrapText="1"/>
    </xf>
    <xf numFmtId="10" fontId="18" fillId="0" borderId="62" xfId="1" applyNumberFormat="1" applyFont="1" applyFill="1" applyBorder="1" applyAlignment="1">
      <alignment horizontal="center" vertical="top" wrapText="1"/>
    </xf>
    <xf numFmtId="10" fontId="19" fillId="0" borderId="62" xfId="1" applyNumberFormat="1" applyFont="1" applyFill="1" applyBorder="1" applyAlignment="1">
      <alignment horizontal="center" vertical="top" shrinkToFit="1"/>
    </xf>
    <xf numFmtId="0" fontId="19" fillId="0" borderId="20" xfId="0" applyFont="1" applyFill="1" applyBorder="1" applyAlignment="1">
      <alignment horizontal="left" vertical="top"/>
    </xf>
    <xf numFmtId="0" fontId="19" fillId="0" borderId="19" xfId="0" applyFont="1" applyFill="1" applyBorder="1" applyAlignment="1">
      <alignment horizontal="left" vertical="top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wrapText="1"/>
    </xf>
    <xf numFmtId="0" fontId="19" fillId="0" borderId="33" xfId="0" applyFont="1" applyFill="1" applyBorder="1" applyAlignment="1">
      <alignment horizontal="left" vertical="top"/>
    </xf>
    <xf numFmtId="0" fontId="19" fillId="0" borderId="34" xfId="0" applyFont="1" applyFill="1" applyBorder="1" applyAlignment="1">
      <alignment horizontal="left" vertical="top"/>
    </xf>
    <xf numFmtId="0" fontId="5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top"/>
    </xf>
    <xf numFmtId="10" fontId="19" fillId="0" borderId="0" xfId="6" applyNumberFormat="1" applyFont="1" applyBorder="1" applyAlignment="1">
      <alignment horizontal="left" vertical="top" shrinkToFit="1"/>
    </xf>
    <xf numFmtId="0" fontId="19" fillId="0" borderId="20" xfId="0" applyFont="1" applyFill="1" applyBorder="1" applyAlignment="1">
      <alignment vertical="center" wrapText="1"/>
    </xf>
    <xf numFmtId="0" fontId="19" fillId="0" borderId="0" xfId="0" applyFont="1" applyBorder="1" applyAlignment="1">
      <alignment horizontal="center" wrapText="1"/>
    </xf>
    <xf numFmtId="10" fontId="19" fillId="0" borderId="0" xfId="0" applyNumberFormat="1" applyFont="1" applyFill="1" applyBorder="1" applyAlignment="1">
      <alignment horizontal="left" vertical="top"/>
    </xf>
    <xf numFmtId="0" fontId="19" fillId="0" borderId="0" xfId="0" applyFont="1" applyAlignment="1">
      <alignment horizontal="left" vertical="top"/>
    </xf>
    <xf numFmtId="0" fontId="19" fillId="0" borderId="0" xfId="0" applyFont="1" applyBorder="1" applyAlignment="1">
      <alignment horizontal="left" vertical="top"/>
    </xf>
    <xf numFmtId="0" fontId="19" fillId="0" borderId="3" xfId="0" applyFont="1" applyFill="1" applyBorder="1" applyAlignment="1">
      <alignment horizontal="left" wrapText="1"/>
    </xf>
    <xf numFmtId="10" fontId="19" fillId="0" borderId="0" xfId="6" applyNumberFormat="1" applyFont="1" applyBorder="1" applyAlignment="1">
      <alignment vertical="top" shrinkToFit="1"/>
    </xf>
    <xf numFmtId="10" fontId="19" fillId="0" borderId="0" xfId="0" applyNumberFormat="1" applyFont="1" applyBorder="1" applyAlignment="1">
      <alignment horizontal="left" vertical="top"/>
    </xf>
    <xf numFmtId="9" fontId="19" fillId="0" borderId="69" xfId="0" applyNumberFormat="1" applyFont="1" applyBorder="1" applyAlignment="1">
      <alignment horizontal="right" vertical="top" shrinkToFit="1"/>
    </xf>
    <xf numFmtId="10" fontId="19" fillId="0" borderId="65" xfId="0" applyNumberFormat="1" applyFont="1" applyFill="1" applyBorder="1" applyAlignment="1">
      <alignment horizontal="center" vertical="top" shrinkToFit="1"/>
    </xf>
    <xf numFmtId="10" fontId="19" fillId="0" borderId="62" xfId="0" applyNumberFormat="1" applyFont="1" applyFill="1" applyBorder="1" applyAlignment="1">
      <alignment horizontal="center" vertical="top" shrinkToFit="1"/>
    </xf>
    <xf numFmtId="10" fontId="19" fillId="0" borderId="42" xfId="1" applyNumberFormat="1" applyFont="1" applyFill="1" applyBorder="1" applyAlignment="1">
      <alignment horizontal="center" vertical="top" wrapText="1"/>
    </xf>
    <xf numFmtId="10" fontId="19" fillId="0" borderId="44" xfId="1" applyNumberFormat="1" applyFont="1" applyFill="1" applyBorder="1" applyAlignment="1">
      <alignment horizontal="center" vertical="top" shrinkToFit="1"/>
    </xf>
    <xf numFmtId="10" fontId="19" fillId="0" borderId="106" xfId="1" applyNumberFormat="1" applyFont="1" applyBorder="1" applyAlignment="1">
      <alignment horizontal="center" vertical="top" shrinkToFit="1"/>
    </xf>
    <xf numFmtId="10" fontId="19" fillId="0" borderId="20" xfId="1" applyNumberFormat="1" applyFont="1" applyFill="1" applyBorder="1" applyAlignment="1">
      <alignment horizontal="right" vertical="top" shrinkToFit="1"/>
    </xf>
    <xf numFmtId="0" fontId="5" fillId="0" borderId="1" xfId="0" applyFont="1" applyFill="1" applyBorder="1" applyAlignment="1">
      <alignment horizontal="left" vertical="center" wrapText="1"/>
    </xf>
    <xf numFmtId="4" fontId="5" fillId="0" borderId="1" xfId="0" applyNumberFormat="1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left" vertical="top"/>
    </xf>
    <xf numFmtId="4" fontId="5" fillId="0" borderId="12" xfId="0" applyNumberFormat="1" applyFont="1" applyFill="1" applyBorder="1" applyAlignment="1">
      <alignment horizontal="left" vertical="center" wrapText="1"/>
    </xf>
    <xf numFmtId="0" fontId="18" fillId="11" borderId="81" xfId="0" applyFont="1" applyFill="1" applyBorder="1" applyAlignment="1">
      <alignment horizontal="center" vertical="center" wrapText="1"/>
    </xf>
    <xf numFmtId="0" fontId="18" fillId="11" borderId="86" xfId="0" applyFont="1" applyFill="1" applyBorder="1" applyAlignment="1">
      <alignment horizontal="center" vertical="top" wrapText="1"/>
    </xf>
    <xf numFmtId="0" fontId="18" fillId="11" borderId="89" xfId="0" applyFont="1" applyFill="1" applyBorder="1" applyAlignment="1">
      <alignment horizontal="center" vertical="top" wrapText="1"/>
    </xf>
    <xf numFmtId="0" fontId="18" fillId="11" borderId="89" xfId="0" applyFont="1" applyFill="1" applyBorder="1" applyAlignment="1">
      <alignment horizontal="left" vertical="top" wrapText="1" indent="1"/>
    </xf>
    <xf numFmtId="0" fontId="18" fillId="11" borderId="91" xfId="0" applyFont="1" applyFill="1" applyBorder="1" applyAlignment="1">
      <alignment horizontal="left" vertical="top" wrapText="1" indent="1"/>
    </xf>
    <xf numFmtId="2" fontId="5" fillId="0" borderId="1" xfId="0" applyNumberFormat="1" applyFont="1" applyFill="1" applyBorder="1" applyAlignment="1">
      <alignment horizontal="center" vertical="center" shrinkToFit="1"/>
    </xf>
    <xf numFmtId="4" fontId="2" fillId="7" borderId="8" xfId="0" applyNumberFormat="1" applyFont="1" applyFill="1" applyBorder="1" applyAlignment="1">
      <alignment horizontal="center" vertical="center" shrinkToFit="1"/>
    </xf>
    <xf numFmtId="0" fontId="5" fillId="0" borderId="42" xfId="0" applyFont="1" applyFill="1" applyBorder="1" applyAlignment="1">
      <alignment horizontal="left" vertical="center" wrapText="1"/>
    </xf>
    <xf numFmtId="0" fontId="2" fillId="9" borderId="36" xfId="0" applyFont="1" applyFill="1" applyBorder="1"/>
    <xf numFmtId="0" fontId="2" fillId="9" borderId="21" xfId="0" applyFont="1" applyFill="1" applyBorder="1"/>
    <xf numFmtId="0" fontId="5" fillId="0" borderId="0" xfId="0" applyFont="1" applyBorder="1"/>
    <xf numFmtId="0" fontId="27" fillId="9" borderId="21" xfId="0" applyFont="1" applyFill="1" applyBorder="1" applyAlignment="1">
      <alignment horizontal="left" vertical="center" wrapText="1"/>
    </xf>
    <xf numFmtId="0" fontId="5" fillId="9" borderId="21" xfId="0" applyFont="1" applyFill="1" applyBorder="1" applyAlignment="1">
      <alignment horizontal="center"/>
    </xf>
    <xf numFmtId="4" fontId="5" fillId="0" borderId="21" xfId="0" applyNumberFormat="1" applyFont="1" applyBorder="1" applyAlignment="1">
      <alignment horizontal="center" vertical="center"/>
    </xf>
    <xf numFmtId="4" fontId="2" fillId="8" borderId="21" xfId="0" applyNumberFormat="1" applyFont="1" applyFill="1" applyBorder="1" applyAlignment="1">
      <alignment horizontal="center"/>
    </xf>
    <xf numFmtId="4" fontId="2" fillId="0" borderId="27" xfId="0" applyNumberFormat="1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center" wrapText="1"/>
    </xf>
    <xf numFmtId="0" fontId="12" fillId="9" borderId="23" xfId="0" applyFont="1" applyFill="1" applyBorder="1"/>
    <xf numFmtId="0" fontId="27" fillId="9" borderId="28" xfId="0" applyFont="1" applyFill="1" applyBorder="1" applyAlignment="1">
      <alignment horizontal="left" vertical="center" wrapText="1"/>
    </xf>
    <xf numFmtId="0" fontId="13" fillId="9" borderId="60" xfId="0" applyFont="1" applyFill="1" applyBorder="1" applyAlignment="1">
      <alignment horizontal="center"/>
    </xf>
    <xf numFmtId="2" fontId="28" fillId="0" borderId="22" xfId="0" applyNumberFormat="1" applyFont="1" applyFill="1" applyBorder="1" applyAlignment="1">
      <alignment horizontal="center"/>
    </xf>
    <xf numFmtId="0" fontId="29" fillId="9" borderId="28" xfId="0" applyFont="1" applyFill="1" applyBorder="1" applyAlignment="1">
      <alignment horizontal="left" vertical="center" wrapText="1"/>
    </xf>
    <xf numFmtId="1" fontId="5" fillId="0" borderId="43" xfId="0" applyNumberFormat="1" applyFont="1" applyFill="1" applyBorder="1" applyAlignment="1">
      <alignment horizontal="center" vertical="center" shrinkToFit="1"/>
    </xf>
    <xf numFmtId="0" fontId="14" fillId="6" borderId="12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horizontal="right" vertical="center" wrapText="1" shrinkToFit="1"/>
    </xf>
    <xf numFmtId="4" fontId="5" fillId="0" borderId="15" xfId="0" applyNumberFormat="1" applyFont="1" applyFill="1" applyBorder="1" applyAlignment="1">
      <alignment horizontal="center" vertical="center" shrinkToFi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4" fontId="5" fillId="0" borderId="8" xfId="0" applyNumberFormat="1" applyFont="1" applyFill="1" applyBorder="1" applyAlignment="1">
      <alignment horizontal="center" vertical="center" shrinkToFit="1"/>
    </xf>
    <xf numFmtId="167" fontId="5" fillId="0" borderId="8" xfId="0" applyNumberFormat="1" applyFont="1" applyFill="1" applyBorder="1" applyAlignment="1">
      <alignment horizontal="center" vertical="center" shrinkToFit="1"/>
    </xf>
    <xf numFmtId="0" fontId="2" fillId="0" borderId="38" xfId="0" applyFont="1" applyFill="1" applyBorder="1" applyAlignment="1">
      <alignment horizontal="center" vertical="center" wrapText="1"/>
    </xf>
    <xf numFmtId="2" fontId="5" fillId="0" borderId="8" xfId="0" applyNumberFormat="1" applyFont="1" applyFill="1" applyBorder="1" applyAlignment="1">
      <alignment horizontal="center" vertical="center" shrinkToFit="1"/>
    </xf>
    <xf numFmtId="4" fontId="5" fillId="0" borderId="13" xfId="0" applyNumberFormat="1" applyFont="1" applyFill="1" applyBorder="1" applyAlignment="1">
      <alignment horizontal="center" vertical="center" shrinkToFit="1"/>
    </xf>
    <xf numFmtId="0" fontId="5" fillId="0" borderId="17" xfId="0" applyFont="1" applyFill="1" applyBorder="1" applyAlignment="1">
      <alignment horizontal="left" vertical="center"/>
    </xf>
    <xf numFmtId="0" fontId="0" fillId="0" borderId="0" xfId="0" applyBorder="1"/>
    <xf numFmtId="2" fontId="3" fillId="0" borderId="0" xfId="0" applyNumberFormat="1" applyFont="1" applyAlignment="1">
      <alignment horizontal="left" vertical="center"/>
    </xf>
    <xf numFmtId="0" fontId="31" fillId="0" borderId="17" xfId="0" applyFont="1" applyBorder="1" applyAlignment="1">
      <alignment vertical="center"/>
    </xf>
    <xf numFmtId="0" fontId="31" fillId="0" borderId="18" xfId="0" applyFont="1" applyBorder="1" applyAlignment="1">
      <alignment vertical="center"/>
    </xf>
    <xf numFmtId="0" fontId="12" fillId="0" borderId="19" xfId="0" applyFont="1" applyBorder="1" applyAlignment="1">
      <alignment horizontal="left" vertical="center"/>
    </xf>
    <xf numFmtId="0" fontId="0" fillId="0" borderId="20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15" borderId="112" xfId="0" applyFill="1" applyBorder="1" applyAlignment="1">
      <alignment horizontal="center" vertical="center"/>
    </xf>
    <xf numFmtId="0" fontId="0" fillId="15" borderId="113" xfId="0" applyFill="1" applyBorder="1" applyAlignment="1">
      <alignment horizontal="center" vertical="center"/>
    </xf>
    <xf numFmtId="0" fontId="12" fillId="0" borderId="114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/>
    </xf>
    <xf numFmtId="0" fontId="12" fillId="15" borderId="116" xfId="0" applyFont="1" applyFill="1" applyBorder="1" applyAlignment="1">
      <alignment horizontal="center" vertical="center"/>
    </xf>
    <xf numFmtId="0" fontId="12" fillId="15" borderId="117" xfId="0" applyFont="1" applyFill="1" applyBorder="1" applyAlignment="1">
      <alignment horizontal="center" vertical="center"/>
    </xf>
    <xf numFmtId="0" fontId="12" fillId="0" borderId="118" xfId="0" applyFont="1" applyBorder="1" applyAlignment="1">
      <alignment horizontal="center" vertical="center"/>
    </xf>
    <xf numFmtId="0" fontId="0" fillId="0" borderId="119" xfId="0" applyBorder="1" applyAlignment="1">
      <alignment horizontal="center" vertical="center"/>
    </xf>
    <xf numFmtId="0" fontId="12" fillId="0" borderId="119" xfId="0" applyFont="1" applyBorder="1" applyAlignment="1">
      <alignment horizontal="center" vertical="center"/>
    </xf>
    <xf numFmtId="0" fontId="12" fillId="0" borderId="120" xfId="0" applyFont="1" applyBorder="1" applyAlignment="1">
      <alignment horizontal="center" vertical="center"/>
    </xf>
    <xf numFmtId="0" fontId="12" fillId="0" borderId="119" xfId="0" applyFont="1" applyBorder="1" applyAlignment="1">
      <alignment vertical="center"/>
    </xf>
    <xf numFmtId="43" fontId="12" fillId="0" borderId="119" xfId="0" applyNumberFormat="1" applyFont="1" applyBorder="1" applyAlignment="1">
      <alignment horizontal="right" vertical="center"/>
    </xf>
    <xf numFmtId="0" fontId="0" fillId="0" borderId="114" xfId="0" applyBorder="1" applyAlignment="1">
      <alignment vertical="center"/>
    </xf>
    <xf numFmtId="4" fontId="12" fillId="0" borderId="20" xfId="0" applyNumberFormat="1" applyFont="1" applyBorder="1" applyAlignment="1">
      <alignment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 applyAlignment="1">
      <alignment vertical="center"/>
    </xf>
    <xf numFmtId="43" fontId="0" fillId="0" borderId="119" xfId="0" applyNumberFormat="1" applyBorder="1" applyAlignment="1">
      <alignment vertical="center"/>
    </xf>
    <xf numFmtId="43" fontId="0" fillId="0" borderId="120" xfId="0" applyNumberFormat="1" applyBorder="1" applyAlignment="1">
      <alignment vertical="center"/>
    </xf>
    <xf numFmtId="4" fontId="0" fillId="0" borderId="114" xfId="0" applyNumberFormat="1" applyBorder="1" applyAlignment="1">
      <alignment vertical="center"/>
    </xf>
    <xf numFmtId="0" fontId="0" fillId="0" borderId="118" xfId="0" applyBorder="1" applyAlignment="1">
      <alignment horizontal="right" vertical="center"/>
    </xf>
    <xf numFmtId="43" fontId="12" fillId="0" borderId="119" xfId="0" applyNumberFormat="1" applyFont="1" applyBorder="1" applyAlignment="1">
      <alignment vertical="center"/>
    </xf>
    <xf numFmtId="43" fontId="12" fillId="0" borderId="120" xfId="0" applyNumberFormat="1" applyFont="1" applyBorder="1" applyAlignment="1">
      <alignment vertical="center"/>
    </xf>
    <xf numFmtId="0" fontId="0" fillId="0" borderId="119" xfId="0" applyBorder="1" applyAlignment="1">
      <alignment horizontal="left" vertical="center"/>
    </xf>
    <xf numFmtId="43" fontId="0" fillId="0" borderId="119" xfId="0" applyNumberFormat="1" applyBorder="1" applyAlignment="1">
      <alignment horizontal="right" vertical="center"/>
    </xf>
    <xf numFmtId="4" fontId="0" fillId="0" borderId="20" xfId="0" applyNumberFormat="1" applyBorder="1" applyAlignment="1">
      <alignment vertical="center"/>
    </xf>
    <xf numFmtId="0" fontId="0" fillId="0" borderId="119" xfId="0" applyBorder="1" applyAlignment="1">
      <alignment horizontal="justify" vertical="center"/>
    </xf>
    <xf numFmtId="0" fontId="13" fillId="0" borderId="119" xfId="0" applyFont="1" applyBorder="1" applyAlignment="1">
      <alignment vertical="center"/>
    </xf>
    <xf numFmtId="2" fontId="0" fillId="0" borderId="119" xfId="0" applyNumberFormat="1" applyBorder="1" applyAlignment="1">
      <alignment vertical="center"/>
    </xf>
    <xf numFmtId="2" fontId="0" fillId="0" borderId="120" xfId="0" applyNumberFormat="1" applyBorder="1" applyAlignment="1">
      <alignment vertical="center"/>
    </xf>
    <xf numFmtId="0" fontId="0" fillId="0" borderId="121" xfId="0" applyBorder="1" applyAlignment="1">
      <alignment horizontal="right" vertical="center"/>
    </xf>
    <xf numFmtId="0" fontId="12" fillId="0" borderId="122" xfId="0" applyFont="1" applyBorder="1" applyAlignment="1">
      <alignment vertical="center"/>
    </xf>
    <xf numFmtId="2" fontId="12" fillId="0" borderId="122" xfId="0" applyNumberFormat="1" applyFont="1" applyBorder="1" applyAlignment="1">
      <alignment vertical="center"/>
    </xf>
    <xf numFmtId="2" fontId="12" fillId="0" borderId="123" xfId="0" applyNumberFormat="1" applyFont="1" applyBorder="1" applyAlignment="1">
      <alignment vertical="center"/>
    </xf>
    <xf numFmtId="0" fontId="30" fillId="0" borderId="19" xfId="0" applyFont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vertical="center"/>
    </xf>
    <xf numFmtId="0" fontId="0" fillId="0" borderId="34" xfId="0" applyBorder="1" applyAlignment="1">
      <alignment vertical="center"/>
    </xf>
    <xf numFmtId="168" fontId="12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vertical="center"/>
    </xf>
    <xf numFmtId="43" fontId="12" fillId="0" borderId="0" xfId="0" applyNumberFormat="1" applyFont="1" applyBorder="1" applyAlignment="1">
      <alignment vertical="center"/>
    </xf>
    <xf numFmtId="0" fontId="30" fillId="0" borderId="0" xfId="0" applyFont="1" applyBorder="1" applyAlignment="1">
      <alignment vertical="center"/>
    </xf>
    <xf numFmtId="43" fontId="12" fillId="16" borderId="120" xfId="0" applyNumberFormat="1" applyFont="1" applyFill="1" applyBorder="1" applyAlignment="1">
      <alignment horizontal="right" vertical="center"/>
    </xf>
    <xf numFmtId="43" fontId="32" fillId="16" borderId="119" xfId="0" applyNumberFormat="1" applyFont="1" applyFill="1" applyBorder="1" applyAlignment="1">
      <alignment horizontal="right" vertical="center"/>
    </xf>
    <xf numFmtId="43" fontId="12" fillId="16" borderId="120" xfId="0" applyNumberFormat="1" applyFont="1" applyFill="1" applyBorder="1" applyAlignment="1">
      <alignment vertical="center"/>
    </xf>
    <xf numFmtId="43" fontId="30" fillId="8" borderId="0" xfId="0" applyNumberFormat="1" applyFont="1" applyFill="1" applyBorder="1" applyAlignment="1">
      <alignment horizontal="center" vertical="center"/>
    </xf>
    <xf numFmtId="43" fontId="35" fillId="16" borderId="120" xfId="0" applyNumberFormat="1" applyFont="1" applyFill="1" applyBorder="1" applyAlignment="1">
      <alignment vertical="center"/>
    </xf>
    <xf numFmtId="2" fontId="2" fillId="0" borderId="14" xfId="0" applyNumberFormat="1" applyFont="1" applyFill="1" applyBorder="1" applyAlignment="1">
      <alignment vertical="center" wrapText="1"/>
    </xf>
    <xf numFmtId="0" fontId="3" fillId="17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13" fillId="0" borderId="60" xfId="0" applyFont="1" applyFill="1" applyBorder="1" applyAlignment="1">
      <alignment horizontal="center" vertical="center" wrapText="1"/>
    </xf>
    <xf numFmtId="0" fontId="31" fillId="11" borderId="21" xfId="0" applyFont="1" applyFill="1" applyBorder="1" applyAlignment="1">
      <alignment horizontal="left" vertical="center"/>
    </xf>
    <xf numFmtId="0" fontId="37" fillId="18" borderId="0" xfId="0" applyFont="1" applyFill="1" applyBorder="1" applyAlignment="1">
      <alignment vertical="center"/>
    </xf>
    <xf numFmtId="0" fontId="37" fillId="0" borderId="0" xfId="0" applyFont="1" applyBorder="1"/>
    <xf numFmtId="0" fontId="31" fillId="19" borderId="21" xfId="0" applyFont="1" applyFill="1" applyBorder="1"/>
    <xf numFmtId="0" fontId="37" fillId="19" borderId="21" xfId="0" applyFont="1" applyFill="1" applyBorder="1"/>
    <xf numFmtId="0" fontId="38" fillId="19" borderId="21" xfId="0" applyFont="1" applyFill="1" applyBorder="1" applyAlignment="1">
      <alignment horizontal="left" vertical="center" wrapText="1"/>
    </xf>
    <xf numFmtId="0" fontId="37" fillId="19" borderId="21" xfId="0" applyFont="1" applyFill="1" applyBorder="1" applyAlignment="1">
      <alignment horizontal="center"/>
    </xf>
    <xf numFmtId="2" fontId="37" fillId="20" borderId="21" xfId="0" applyNumberFormat="1" applyFont="1" applyFill="1" applyBorder="1" applyAlignment="1">
      <alignment horizontal="center"/>
    </xf>
    <xf numFmtId="4" fontId="37" fillId="0" borderId="21" xfId="0" applyNumberFormat="1" applyFont="1" applyBorder="1" applyAlignment="1">
      <alignment horizontal="center" vertical="center"/>
    </xf>
    <xf numFmtId="4" fontId="31" fillId="0" borderId="21" xfId="0" applyNumberFormat="1" applyFont="1" applyBorder="1" applyAlignment="1">
      <alignment horizontal="center"/>
    </xf>
    <xf numFmtId="4" fontId="31" fillId="0" borderId="21" xfId="0" applyNumberFormat="1" applyFont="1" applyBorder="1" applyAlignment="1">
      <alignment horizontal="right"/>
    </xf>
    <xf numFmtId="4" fontId="31" fillId="8" borderId="21" xfId="0" applyNumberFormat="1" applyFont="1" applyFill="1" applyBorder="1" applyAlignment="1">
      <alignment horizontal="center"/>
    </xf>
    <xf numFmtId="4" fontId="31" fillId="20" borderId="21" xfId="0" applyNumberFormat="1" applyFont="1" applyFill="1" applyBorder="1" applyAlignment="1">
      <alignment horizontal="center"/>
    </xf>
    <xf numFmtId="0" fontId="5" fillId="0" borderId="13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1" fillId="0" borderId="21" xfId="0" applyFont="1" applyBorder="1" applyAlignment="1">
      <alignment horizont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61" xfId="0" applyFont="1" applyFill="1" applyBorder="1" applyAlignment="1">
      <alignment horizontal="left" vertical="top" wrapText="1"/>
    </xf>
    <xf numFmtId="0" fontId="0" fillId="0" borderId="33" xfId="0" applyFill="1" applyBorder="1" applyAlignment="1">
      <alignment horizontal="left" vertical="top"/>
    </xf>
    <xf numFmtId="0" fontId="31" fillId="19" borderId="36" xfId="0" applyFont="1" applyFill="1" applyBorder="1"/>
    <xf numFmtId="4" fontId="31" fillId="0" borderId="27" xfId="0" applyNumberFormat="1" applyFont="1" applyFill="1" applyBorder="1" applyAlignment="1">
      <alignment horizontal="center"/>
    </xf>
    <xf numFmtId="4" fontId="37" fillId="0" borderId="27" xfId="0" applyNumberFormat="1" applyFont="1" applyBorder="1" applyAlignment="1">
      <alignment horizontal="center" vertical="center"/>
    </xf>
    <xf numFmtId="0" fontId="31" fillId="11" borderId="36" xfId="0" applyFont="1" applyFill="1" applyBorder="1" applyAlignment="1">
      <alignment vertical="center"/>
    </xf>
    <xf numFmtId="0" fontId="5" fillId="0" borderId="32" xfId="0" applyFont="1" applyFill="1" applyBorder="1" applyAlignment="1">
      <alignment horizontal="left" vertical="center"/>
    </xf>
    <xf numFmtId="0" fontId="14" fillId="0" borderId="33" xfId="0" applyFont="1" applyFill="1" applyBorder="1" applyAlignment="1">
      <alignment horizontal="left" vertical="center"/>
    </xf>
    <xf numFmtId="0" fontId="5" fillId="0" borderId="33" xfId="0" applyFont="1" applyFill="1" applyBorder="1" applyAlignment="1">
      <alignment horizontal="left" vertical="center"/>
    </xf>
    <xf numFmtId="0" fontId="5" fillId="0" borderId="34" xfId="0" applyFont="1" applyFill="1" applyBorder="1" applyAlignment="1">
      <alignment horizontal="left" vertical="center"/>
    </xf>
    <xf numFmtId="0" fontId="0" fillId="0" borderId="27" xfId="0" applyBorder="1"/>
    <xf numFmtId="0" fontId="0" fillId="0" borderId="20" xfId="0" applyBorder="1"/>
    <xf numFmtId="0" fontId="5" fillId="0" borderId="20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51" xfId="0" applyFont="1" applyFill="1" applyBorder="1" applyAlignment="1">
      <alignment vertical="center" wrapText="1"/>
    </xf>
    <xf numFmtId="0" fontId="2" fillId="0" borderId="20" xfId="0" applyFont="1" applyFill="1" applyBorder="1" applyAlignment="1">
      <alignment vertical="center" wrapText="1"/>
    </xf>
    <xf numFmtId="0" fontId="2" fillId="4" borderId="13" xfId="0" applyFont="1" applyFill="1" applyBorder="1" applyAlignment="1">
      <alignment horizontal="right" vertical="center" wrapText="1"/>
    </xf>
    <xf numFmtId="0" fontId="2" fillId="4" borderId="14" xfId="0" applyFont="1" applyFill="1" applyBorder="1" applyAlignment="1">
      <alignment horizontal="right" vertical="center" wrapText="1"/>
    </xf>
    <xf numFmtId="0" fontId="2" fillId="4" borderId="15" xfId="0" applyFont="1" applyFill="1" applyBorder="1" applyAlignment="1">
      <alignment horizontal="right" vertical="center" wrapText="1"/>
    </xf>
    <xf numFmtId="4" fontId="2" fillId="4" borderId="13" xfId="0" applyNumberFormat="1" applyFont="1" applyFill="1" applyBorder="1" applyAlignment="1">
      <alignment horizontal="right" vertical="center" shrinkToFit="1"/>
    </xf>
    <xf numFmtId="4" fontId="2" fillId="4" borderId="14" xfId="0" applyNumberFormat="1" applyFont="1" applyFill="1" applyBorder="1" applyAlignment="1">
      <alignment horizontal="right" vertical="center" shrinkToFit="1"/>
    </xf>
    <xf numFmtId="4" fontId="2" fillId="4" borderId="50" xfId="0" applyNumberFormat="1" applyFont="1" applyFill="1" applyBorder="1" applyAlignment="1">
      <alignment horizontal="right" vertical="center" shrinkToFi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5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center" vertical="center" shrinkToFit="1"/>
    </xf>
    <xf numFmtId="2" fontId="5" fillId="0" borderId="14" xfId="0" applyNumberFormat="1" applyFont="1" applyFill="1" applyBorder="1" applyAlignment="1">
      <alignment horizontal="center" vertical="center" shrinkToFit="1"/>
    </xf>
    <xf numFmtId="2" fontId="5" fillId="0" borderId="15" xfId="0" applyNumberFormat="1" applyFont="1" applyFill="1" applyBorder="1" applyAlignment="1">
      <alignment horizontal="center" vertical="center" shrinkToFit="1"/>
    </xf>
    <xf numFmtId="4" fontId="5" fillId="0" borderId="13" xfId="0" applyNumberFormat="1" applyFont="1" applyFill="1" applyBorder="1" applyAlignment="1">
      <alignment horizontal="right" vertical="center" shrinkToFit="1"/>
    </xf>
    <xf numFmtId="4" fontId="5" fillId="0" borderId="15" xfId="0" applyNumberFormat="1" applyFont="1" applyFill="1" applyBorder="1" applyAlignment="1">
      <alignment horizontal="right" vertical="center" shrinkToFit="1"/>
    </xf>
    <xf numFmtId="4" fontId="5" fillId="0" borderId="14" xfId="0" applyNumberFormat="1" applyFont="1" applyFill="1" applyBorder="1" applyAlignment="1">
      <alignment horizontal="right" vertical="center" shrinkToFit="1"/>
    </xf>
    <xf numFmtId="4" fontId="5" fillId="0" borderId="50" xfId="0" applyNumberFormat="1" applyFont="1" applyFill="1" applyBorder="1" applyAlignment="1">
      <alignment horizontal="right" vertical="center" shrinkToFi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0" fontId="2" fillId="3" borderId="4" xfId="0" applyFont="1" applyFill="1" applyBorder="1" applyAlignment="1">
      <alignment horizontal="right" vertical="center" wrapText="1"/>
    </xf>
    <xf numFmtId="0" fontId="2" fillId="3" borderId="6" xfId="0" applyFont="1" applyFill="1" applyBorder="1" applyAlignment="1">
      <alignment horizontal="right" vertical="center" wrapText="1"/>
    </xf>
    <xf numFmtId="0" fontId="2" fillId="3" borderId="0" xfId="0" applyFont="1" applyFill="1" applyBorder="1" applyAlignment="1">
      <alignment horizontal="right" vertical="center" wrapText="1"/>
    </xf>
    <xf numFmtId="0" fontId="2" fillId="3" borderId="7" xfId="0" applyFont="1" applyFill="1" applyBorder="1" applyAlignment="1">
      <alignment horizontal="right" vertical="center" wrapText="1"/>
    </xf>
    <xf numFmtId="0" fontId="2" fillId="3" borderId="9" xfId="0" applyFont="1" applyFill="1" applyBorder="1" applyAlignment="1">
      <alignment horizontal="right" vertical="center" wrapText="1"/>
    </xf>
    <xf numFmtId="0" fontId="2" fillId="3" borderId="10" xfId="0" applyFont="1" applyFill="1" applyBorder="1" applyAlignment="1">
      <alignment horizontal="right" vertical="center" wrapText="1"/>
    </xf>
    <xf numFmtId="0" fontId="2" fillId="3" borderId="11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0" xfId="0" applyFont="1" applyFill="1" applyBorder="1" applyAlignment="1">
      <alignment horizontal="center" vertical="center" wrapText="1"/>
    </xf>
    <xf numFmtId="0" fontId="22" fillId="13" borderId="51" xfId="0" applyFont="1" applyFill="1" applyBorder="1" applyAlignment="1">
      <alignment horizontal="center" vertical="center" wrapText="1"/>
    </xf>
    <xf numFmtId="0" fontId="22" fillId="13" borderId="14" xfId="0" applyFont="1" applyFill="1" applyBorder="1" applyAlignment="1">
      <alignment horizontal="center" vertical="center" wrapText="1"/>
    </xf>
    <xf numFmtId="0" fontId="22" fillId="13" borderId="50" xfId="0" applyFont="1" applyFill="1" applyBorder="1" applyAlignment="1">
      <alignment horizontal="center" vertical="center" wrapText="1"/>
    </xf>
    <xf numFmtId="4" fontId="8" fillId="0" borderId="13" xfId="0" applyNumberFormat="1" applyFont="1" applyFill="1" applyBorder="1" applyAlignment="1">
      <alignment horizontal="right" vertical="center" shrinkToFit="1"/>
    </xf>
    <xf numFmtId="4" fontId="8" fillId="0" borderId="15" xfId="0" applyNumberFormat="1" applyFont="1" applyFill="1" applyBorder="1" applyAlignment="1">
      <alignment horizontal="right" vertical="center" shrinkToFit="1"/>
    </xf>
    <xf numFmtId="4" fontId="7" fillId="4" borderId="13" xfId="0" applyNumberFormat="1" applyFont="1" applyFill="1" applyBorder="1" applyAlignment="1">
      <alignment horizontal="right" vertical="center" shrinkToFit="1"/>
    </xf>
    <xf numFmtId="4" fontId="7" fillId="4" borderId="14" xfId="0" applyNumberFormat="1" applyFont="1" applyFill="1" applyBorder="1" applyAlignment="1">
      <alignment horizontal="right" vertical="center" shrinkToFit="1"/>
    </xf>
    <xf numFmtId="4" fontId="7" fillId="4" borderId="50" xfId="0" applyNumberFormat="1" applyFont="1" applyFill="1" applyBorder="1" applyAlignment="1">
      <alignment horizontal="right" vertical="center" shrinkToFi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1" fillId="13" borderId="16" xfId="0" applyFont="1" applyFill="1" applyBorder="1" applyAlignment="1">
      <alignment horizontal="center" vertical="center" wrapText="1"/>
    </xf>
    <xf numFmtId="0" fontId="21" fillId="13" borderId="17" xfId="0" applyFont="1" applyFill="1" applyBorder="1" applyAlignment="1">
      <alignment horizontal="center" vertical="center" wrapText="1"/>
    </xf>
    <xf numFmtId="0" fontId="21" fillId="13" borderId="18" xfId="0" applyFont="1" applyFill="1" applyBorder="1" applyAlignment="1">
      <alignment horizontal="center" vertical="center" wrapText="1"/>
    </xf>
    <xf numFmtId="0" fontId="2" fillId="12" borderId="19" xfId="0" applyFont="1" applyFill="1" applyBorder="1" applyAlignment="1">
      <alignment horizontal="right" vertical="center" wrapText="1"/>
    </xf>
    <xf numFmtId="0" fontId="2" fillId="12" borderId="0" xfId="0" applyFont="1" applyFill="1" applyBorder="1" applyAlignment="1">
      <alignment horizontal="right" vertical="center" wrapText="1"/>
    </xf>
    <xf numFmtId="0" fontId="2" fillId="12" borderId="20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5" fillId="0" borderId="9" xfId="0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right" vertical="center" wrapText="1"/>
    </xf>
    <xf numFmtId="0" fontId="5" fillId="0" borderId="38" xfId="0" applyFont="1" applyFill="1" applyBorder="1" applyAlignment="1">
      <alignment horizontal="right" vertical="center" wrapText="1"/>
    </xf>
    <xf numFmtId="0" fontId="2" fillId="2" borderId="37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50" xfId="0" applyFont="1" applyFill="1" applyBorder="1" applyAlignment="1">
      <alignment horizontal="left" vertical="center" wrapText="1"/>
    </xf>
    <xf numFmtId="0" fontId="5" fillId="0" borderId="45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left" vertical="center" wrapText="1"/>
    </xf>
    <xf numFmtId="0" fontId="5" fillId="2" borderId="10" xfId="0" applyFont="1" applyFill="1" applyBorder="1" applyAlignment="1">
      <alignment horizontal="left" vertical="center" wrapText="1"/>
    </xf>
    <xf numFmtId="0" fontId="5" fillId="2" borderId="11" xfId="0" applyFont="1" applyFill="1" applyBorder="1" applyAlignment="1">
      <alignment horizontal="left" vertic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4" fontId="8" fillId="0" borderId="14" xfId="0" applyNumberFormat="1" applyFont="1" applyFill="1" applyBorder="1" applyAlignment="1">
      <alignment horizontal="right" vertical="center" shrinkToFit="1"/>
    </xf>
    <xf numFmtId="4" fontId="8" fillId="0" borderId="50" xfId="0" applyNumberFormat="1" applyFont="1" applyFill="1" applyBorder="1" applyAlignment="1">
      <alignment horizontal="right" vertical="center" shrinkToFi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left" vertical="center" wrapText="1"/>
    </xf>
    <xf numFmtId="0" fontId="2" fillId="3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5" xfId="0" applyFont="1" applyFill="1" applyBorder="1" applyAlignment="1">
      <alignment horizontal="right" vertical="center" wrapText="1"/>
    </xf>
    <xf numFmtId="10" fontId="7" fillId="14" borderId="13" xfId="0" applyNumberFormat="1" applyFont="1" applyFill="1" applyBorder="1" applyAlignment="1">
      <alignment horizontal="center" vertical="center" shrinkToFit="1"/>
    </xf>
    <xf numFmtId="10" fontId="7" fillId="14" borderId="50" xfId="0" applyNumberFormat="1" applyFont="1" applyFill="1" applyBorder="1" applyAlignment="1">
      <alignment horizontal="center" vertical="center" shrinkToFit="1"/>
    </xf>
    <xf numFmtId="10" fontId="8" fillId="2" borderId="14" xfId="0" applyNumberFormat="1" applyFont="1" applyFill="1" applyBorder="1" applyAlignment="1">
      <alignment horizontal="right" vertical="center" shrinkToFit="1"/>
    </xf>
    <xf numFmtId="10" fontId="8" fillId="2" borderId="15" xfId="0" applyNumberFormat="1" applyFont="1" applyFill="1" applyBorder="1" applyAlignment="1">
      <alignment horizontal="right" vertical="center" shrinkToFit="1"/>
    </xf>
    <xf numFmtId="0" fontId="5" fillId="0" borderId="51" xfId="0" applyFont="1" applyFill="1" applyBorder="1" applyAlignment="1">
      <alignment horizontal="left" vertical="center" wrapText="1"/>
    </xf>
    <xf numFmtId="0" fontId="3" fillId="4" borderId="51" xfId="0" applyFont="1" applyFill="1" applyBorder="1" applyAlignment="1">
      <alignment horizontal="left" vertical="center" wrapText="1"/>
    </xf>
    <xf numFmtId="0" fontId="3" fillId="4" borderId="14" xfId="0" applyFont="1" applyFill="1" applyBorder="1" applyAlignment="1">
      <alignment horizontal="left" vertical="center" wrapText="1"/>
    </xf>
    <xf numFmtId="0" fontId="3" fillId="4" borderId="50" xfId="0" applyFont="1" applyFill="1" applyBorder="1" applyAlignment="1">
      <alignment horizontal="left" vertical="center" wrapText="1"/>
    </xf>
    <xf numFmtId="0" fontId="5" fillId="3" borderId="39" xfId="0" applyFont="1" applyFill="1" applyBorder="1" applyAlignment="1">
      <alignment horizontal="center" vertical="center" textRotation="90" wrapText="1"/>
    </xf>
    <xf numFmtId="0" fontId="5" fillId="3" borderId="52" xfId="0" applyFont="1" applyFill="1" applyBorder="1" applyAlignment="1">
      <alignment horizontal="center" vertical="center" textRotation="90" wrapText="1"/>
    </xf>
    <xf numFmtId="0" fontId="5" fillId="3" borderId="41" xfId="0" applyFont="1" applyFill="1" applyBorder="1" applyAlignment="1">
      <alignment horizontal="center" vertical="center" textRotation="90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46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17" fontId="5" fillId="2" borderId="9" xfId="0" applyNumberFormat="1" applyFont="1" applyFill="1" applyBorder="1" applyAlignment="1">
      <alignment horizontal="center" vertical="center" wrapText="1"/>
    </xf>
    <xf numFmtId="0" fontId="5" fillId="2" borderId="38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right" vertical="center" wrapText="1"/>
    </xf>
    <xf numFmtId="0" fontId="3" fillId="0" borderId="3" xfId="0" applyFont="1" applyFill="1" applyBorder="1" applyAlignment="1">
      <alignment horizontal="right" vertical="center" wrapText="1"/>
    </xf>
    <xf numFmtId="0" fontId="3" fillId="0" borderId="46" xfId="0" applyFont="1" applyFill="1" applyBorder="1" applyAlignment="1">
      <alignment horizontal="right" vertical="center" wrapText="1"/>
    </xf>
    <xf numFmtId="0" fontId="3" fillId="0" borderId="6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20" xfId="0" applyFont="1" applyFill="1" applyBorder="1" applyAlignment="1">
      <alignment horizontal="right" vertical="center" wrapText="1"/>
    </xf>
    <xf numFmtId="0" fontId="3" fillId="0" borderId="9" xfId="0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38" xfId="0" applyFont="1" applyFill="1" applyBorder="1" applyAlignment="1">
      <alignment horizontal="right" vertical="center" wrapText="1"/>
    </xf>
    <xf numFmtId="0" fontId="5" fillId="3" borderId="51" xfId="0" applyFont="1" applyFill="1" applyBorder="1" applyAlignment="1">
      <alignment horizontal="left" vertical="center" wrapText="1"/>
    </xf>
    <xf numFmtId="0" fontId="5" fillId="3" borderId="14" xfId="0" applyFont="1" applyFill="1" applyBorder="1" applyAlignment="1">
      <alignment horizontal="left" vertical="center" wrapText="1"/>
    </xf>
    <xf numFmtId="0" fontId="5" fillId="3" borderId="15" xfId="0" applyFont="1" applyFill="1" applyBorder="1" applyAlignment="1">
      <alignment horizontal="left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44" fontId="20" fillId="8" borderId="75" xfId="6" applyFont="1" applyFill="1" applyBorder="1" applyAlignment="1">
      <alignment horizontal="right" vertical="center" shrinkToFit="1"/>
    </xf>
    <xf numFmtId="44" fontId="20" fillId="8" borderId="73" xfId="6" applyFont="1" applyFill="1" applyBorder="1" applyAlignment="1">
      <alignment horizontal="right" vertical="center" shrinkToFit="1"/>
    </xf>
    <xf numFmtId="44" fontId="20" fillId="8" borderId="76" xfId="6" applyFont="1" applyFill="1" applyBorder="1" applyAlignment="1">
      <alignment horizontal="right" vertical="center" shrinkToFit="1"/>
    </xf>
    <xf numFmtId="0" fontId="5" fillId="0" borderId="54" xfId="0" applyFont="1" applyFill="1" applyBorder="1" applyAlignment="1">
      <alignment horizontal="left" vertical="center" wrapText="1"/>
    </xf>
    <xf numFmtId="0" fontId="5" fillId="0" borderId="55" xfId="0" applyFont="1" applyFill="1" applyBorder="1" applyAlignment="1">
      <alignment horizontal="left" vertical="center" wrapText="1"/>
    </xf>
    <xf numFmtId="0" fontId="5" fillId="0" borderId="56" xfId="0" applyFont="1" applyFill="1" applyBorder="1" applyAlignment="1">
      <alignment horizontal="left" vertical="center" wrapText="1"/>
    </xf>
    <xf numFmtId="0" fontId="12" fillId="5" borderId="72" xfId="0" applyFont="1" applyFill="1" applyBorder="1" applyAlignment="1">
      <alignment horizontal="right" vertical="center" wrapText="1"/>
    </xf>
    <xf numFmtId="0" fontId="12" fillId="5" borderId="73" xfId="0" applyFont="1" applyFill="1" applyBorder="1" applyAlignment="1">
      <alignment horizontal="right" vertical="center" wrapText="1"/>
    </xf>
    <xf numFmtId="0" fontId="12" fillId="5" borderId="74" xfId="0" applyFont="1" applyFill="1" applyBorder="1" applyAlignment="1">
      <alignment horizontal="right" vertical="center" wrapText="1"/>
    </xf>
    <xf numFmtId="0" fontId="5" fillId="0" borderId="13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horizontal="left" vertical="top" wrapText="1"/>
    </xf>
    <xf numFmtId="0" fontId="12" fillId="0" borderId="1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20" xfId="0" applyFont="1" applyBorder="1" applyAlignment="1">
      <alignment horizontal="left" vertical="center"/>
    </xf>
    <xf numFmtId="0" fontId="30" fillId="0" borderId="16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12" fillId="15" borderId="111" xfId="0" applyFont="1" applyFill="1" applyBorder="1" applyAlignment="1">
      <alignment horizontal="center" vertical="center"/>
    </xf>
    <xf numFmtId="0" fontId="12" fillId="15" borderId="115" xfId="0" applyFont="1" applyFill="1" applyBorder="1" applyAlignment="1">
      <alignment horizontal="center" vertical="center"/>
    </xf>
    <xf numFmtId="0" fontId="12" fillId="15" borderId="112" xfId="0" applyFont="1" applyFill="1" applyBorder="1" applyAlignment="1">
      <alignment horizontal="center" vertical="center"/>
    </xf>
    <xf numFmtId="0" fontId="12" fillId="15" borderId="116" xfId="0" applyFont="1" applyFill="1" applyBorder="1" applyAlignment="1">
      <alignment horizontal="center" vertical="center"/>
    </xf>
    <xf numFmtId="0" fontId="30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0" xfId="0" applyBorder="1" applyAlignment="1">
      <alignment vertical="center"/>
    </xf>
    <xf numFmtId="10" fontId="34" fillId="0" borderId="31" xfId="0" applyNumberFormat="1" applyFont="1" applyBorder="1" applyAlignment="1" applyProtection="1">
      <alignment horizontal="center" vertical="center"/>
      <protection locked="0"/>
    </xf>
    <xf numFmtId="0" fontId="33" fillId="0" borderId="19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 vertical="center" wrapText="1"/>
    </xf>
    <xf numFmtId="0" fontId="33" fillId="0" borderId="2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/>
    </xf>
    <xf numFmtId="2" fontId="37" fillId="20" borderId="53" xfId="0" applyNumberFormat="1" applyFont="1" applyFill="1" applyBorder="1" applyAlignment="1">
      <alignment horizontal="left"/>
    </xf>
    <xf numFmtId="2" fontId="37" fillId="20" borderId="22" xfId="0" applyNumberFormat="1" applyFont="1" applyFill="1" applyBorder="1" applyAlignment="1">
      <alignment horizontal="left"/>
    </xf>
    <xf numFmtId="0" fontId="31" fillId="0" borderId="36" xfId="0" applyFont="1" applyBorder="1" applyAlignment="1">
      <alignment horizontal="center"/>
    </xf>
    <xf numFmtId="0" fontId="31" fillId="0" borderId="21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7" fillId="19" borderId="21" xfId="0" applyNumberFormat="1" applyFont="1" applyFill="1" applyBorder="1" applyAlignment="1">
      <alignment horizontal="left" vertical="center" wrapText="1"/>
    </xf>
    <xf numFmtId="0" fontId="37" fillId="19" borderId="27" xfId="0" applyNumberFormat="1" applyFont="1" applyFill="1" applyBorder="1" applyAlignment="1">
      <alignment horizontal="left" vertical="center" wrapText="1"/>
    </xf>
    <xf numFmtId="0" fontId="31" fillId="0" borderId="36" xfId="0" applyFont="1" applyFill="1" applyBorder="1" applyAlignment="1">
      <alignment horizontal="center"/>
    </xf>
    <xf numFmtId="0" fontId="31" fillId="0" borderId="21" xfId="0" applyFont="1" applyFill="1" applyBorder="1" applyAlignment="1">
      <alignment horizontal="center"/>
    </xf>
    <xf numFmtId="0" fontId="31" fillId="0" borderId="21" xfId="0" applyFont="1" applyBorder="1" applyAlignment="1">
      <alignment horizontal="center" vertical="center"/>
    </xf>
    <xf numFmtId="0" fontId="31" fillId="0" borderId="21" xfId="0" applyFont="1" applyBorder="1" applyAlignment="1">
      <alignment horizontal="center" vertical="center" wrapText="1"/>
    </xf>
    <xf numFmtId="0" fontId="31" fillId="0" borderId="27" xfId="0" applyFont="1" applyBorder="1" applyAlignment="1">
      <alignment horizontal="center" vertical="center"/>
    </xf>
    <xf numFmtId="2" fontId="28" fillId="0" borderId="53" xfId="0" applyNumberFormat="1" applyFont="1" applyFill="1" applyBorder="1" applyAlignment="1">
      <alignment horizontal="left" vertical="center" wrapText="1"/>
    </xf>
    <xf numFmtId="2" fontId="28" fillId="0" borderId="22" xfId="0" applyNumberFormat="1" applyFont="1" applyFill="1" applyBorder="1" applyAlignment="1">
      <alignment horizontal="left" vertical="center" wrapText="1"/>
    </xf>
    <xf numFmtId="0" fontId="2" fillId="0" borderId="110" xfId="0" applyFont="1" applyFill="1" applyBorder="1" applyAlignment="1">
      <alignment horizontal="center" vertical="center" wrapText="1"/>
    </xf>
    <xf numFmtId="0" fontId="2" fillId="0" borderId="90" xfId="0" applyFont="1" applyFill="1" applyBorder="1" applyAlignment="1">
      <alignment horizontal="center" vertical="center" wrapText="1"/>
    </xf>
    <xf numFmtId="0" fontId="2" fillId="0" borderId="127" xfId="0" applyFont="1" applyFill="1" applyBorder="1" applyAlignment="1">
      <alignment horizontal="center" vertical="center" wrapText="1"/>
    </xf>
    <xf numFmtId="4" fontId="2" fillId="0" borderId="51" xfId="0" applyNumberFormat="1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right" vertical="center" wrapText="1"/>
    </xf>
    <xf numFmtId="0" fontId="31" fillId="11" borderId="28" xfId="0" applyFont="1" applyFill="1" applyBorder="1" applyAlignment="1">
      <alignment horizontal="left" vertical="center"/>
    </xf>
    <xf numFmtId="0" fontId="31" fillId="11" borderId="124" xfId="0" applyFont="1" applyFill="1" applyBorder="1" applyAlignment="1">
      <alignment horizontal="left" vertical="center"/>
    </xf>
    <xf numFmtId="0" fontId="31" fillId="11" borderId="125" xfId="0" applyFont="1" applyFill="1" applyBorder="1" applyAlignment="1">
      <alignment horizontal="left" vertical="center"/>
    </xf>
    <xf numFmtId="0" fontId="31" fillId="0" borderId="53" xfId="0" applyFont="1" applyFill="1" applyBorder="1" applyAlignment="1">
      <alignment horizontal="center"/>
    </xf>
    <xf numFmtId="0" fontId="31" fillId="0" borderId="124" xfId="0" applyFont="1" applyFill="1" applyBorder="1" applyAlignment="1">
      <alignment horizontal="center"/>
    </xf>
    <xf numFmtId="0" fontId="31" fillId="0" borderId="125" xfId="0" applyFont="1" applyFill="1" applyBorder="1" applyAlignment="1">
      <alignment horizontal="center"/>
    </xf>
    <xf numFmtId="0" fontId="2" fillId="0" borderId="51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righ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/>
    </xf>
    <xf numFmtId="0" fontId="2" fillId="0" borderId="25" xfId="0" applyFont="1" applyFill="1" applyBorder="1" applyAlignment="1">
      <alignment horizontal="center"/>
    </xf>
    <xf numFmtId="0" fontId="5" fillId="0" borderId="107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9" borderId="2" xfId="0" applyFont="1" applyFill="1" applyBorder="1" applyAlignment="1">
      <alignment horizontal="left" vertical="center" wrapText="1"/>
    </xf>
    <xf numFmtId="0" fontId="5" fillId="9" borderId="3" xfId="0" applyFont="1" applyFill="1" applyBorder="1" applyAlignment="1">
      <alignment horizontal="left" vertical="center" wrapText="1"/>
    </xf>
    <xf numFmtId="0" fontId="5" fillId="9" borderId="46" xfId="0" applyFont="1" applyFill="1" applyBorder="1" applyAlignment="1">
      <alignment horizontal="left" vertical="center" wrapText="1"/>
    </xf>
    <xf numFmtId="0" fontId="5" fillId="9" borderId="9" xfId="0" applyFont="1" applyFill="1" applyBorder="1" applyAlignment="1">
      <alignment horizontal="left" vertical="center" wrapText="1"/>
    </xf>
    <xf numFmtId="0" fontId="5" fillId="9" borderId="10" xfId="0" applyFont="1" applyFill="1" applyBorder="1" applyAlignment="1">
      <alignment horizontal="left" vertical="center" wrapText="1"/>
    </xf>
    <xf numFmtId="0" fontId="5" fillId="9" borderId="38" xfId="0" applyFont="1" applyFill="1" applyBorder="1" applyAlignment="1">
      <alignment horizontal="left" vertical="center" wrapText="1"/>
    </xf>
    <xf numFmtId="0" fontId="5" fillId="9" borderId="21" xfId="0" applyNumberFormat="1" applyFont="1" applyFill="1" applyBorder="1" applyAlignment="1">
      <alignment horizontal="left" vertical="center" wrapText="1"/>
    </xf>
    <xf numFmtId="0" fontId="5" fillId="9" borderId="27" xfId="0" applyNumberFormat="1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0" fontId="2" fillId="0" borderId="21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4" fontId="5" fillId="0" borderId="53" xfId="0" applyNumberFormat="1" applyFont="1" applyBorder="1" applyAlignment="1">
      <alignment horizontal="left" vertical="center"/>
    </xf>
    <xf numFmtId="4" fontId="5" fillId="0" borderId="22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5" fillId="6" borderId="1" xfId="0" applyFont="1" applyFill="1" applyBorder="1" applyAlignment="1">
      <alignment horizontal="left" vertical="center" wrapText="1"/>
    </xf>
    <xf numFmtId="0" fontId="5" fillId="6" borderId="8" xfId="0" applyFont="1" applyFill="1" applyBorder="1" applyAlignment="1">
      <alignment horizontal="left" vertical="center" wrapText="1"/>
    </xf>
    <xf numFmtId="0" fontId="5" fillId="9" borderId="0" xfId="0" applyFont="1" applyFill="1" applyBorder="1" applyAlignment="1">
      <alignment horizontal="left" vertical="center" wrapText="1"/>
    </xf>
    <xf numFmtId="0" fontId="14" fillId="0" borderId="35" xfId="0" applyFont="1" applyFill="1" applyBorder="1" applyAlignment="1">
      <alignment horizontal="center"/>
    </xf>
    <xf numFmtId="0" fontId="14" fillId="0" borderId="58" xfId="0" applyFont="1" applyFill="1" applyBorder="1" applyAlignment="1">
      <alignment horizontal="center"/>
    </xf>
    <xf numFmtId="0" fontId="14" fillId="0" borderId="29" xfId="0" applyFont="1" applyFill="1" applyBorder="1" applyAlignment="1">
      <alignment horizontal="center"/>
    </xf>
    <xf numFmtId="0" fontId="14" fillId="0" borderId="61" xfId="0" applyFont="1" applyFill="1" applyBorder="1" applyAlignment="1">
      <alignment horizontal="center"/>
    </xf>
    <xf numFmtId="0" fontId="14" fillId="0" borderId="108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50" xfId="0" applyFont="1" applyFill="1" applyBorder="1" applyAlignment="1">
      <alignment horizontal="left" vertical="center" wrapText="1"/>
    </xf>
    <xf numFmtId="2" fontId="5" fillId="0" borderId="51" xfId="0" applyNumberFormat="1" applyFont="1" applyFill="1" applyBorder="1" applyAlignment="1">
      <alignment horizontal="left" vertical="center" shrinkToFit="1"/>
    </xf>
    <xf numFmtId="2" fontId="5" fillId="0" borderId="15" xfId="0" applyNumberFormat="1" applyFont="1" applyFill="1" applyBorder="1" applyAlignment="1">
      <alignment horizontal="left" vertical="center" shrinkToFit="1"/>
    </xf>
    <xf numFmtId="0" fontId="23" fillId="13" borderId="47" xfId="0" applyFont="1" applyFill="1" applyBorder="1" applyAlignment="1">
      <alignment horizontal="center" vertical="center" wrapText="1"/>
    </xf>
    <xf numFmtId="0" fontId="23" fillId="13" borderId="48" xfId="0" applyFont="1" applyFill="1" applyBorder="1" applyAlignment="1">
      <alignment horizontal="center" vertical="center" wrapText="1"/>
    </xf>
    <xf numFmtId="0" fontId="23" fillId="13" borderId="49" xfId="0" applyFont="1" applyFill="1" applyBorder="1" applyAlignment="1">
      <alignment horizontal="center" vertical="center" wrapText="1"/>
    </xf>
    <xf numFmtId="0" fontId="26" fillId="13" borderId="51" xfId="0" applyFont="1" applyFill="1" applyBorder="1" applyAlignment="1">
      <alignment horizontal="center" vertical="center" wrapText="1"/>
    </xf>
    <xf numFmtId="0" fontId="26" fillId="13" borderId="14" xfId="0" applyFont="1" applyFill="1" applyBorder="1" applyAlignment="1">
      <alignment horizontal="center" vertical="center" wrapText="1"/>
    </xf>
    <xf numFmtId="0" fontId="26" fillId="13" borderId="50" xfId="0" applyFont="1" applyFill="1" applyBorder="1" applyAlignment="1">
      <alignment horizontal="center" vertical="center" wrapText="1"/>
    </xf>
    <xf numFmtId="0" fontId="2" fillId="6" borderId="51" xfId="0" applyFont="1" applyFill="1" applyBorder="1" applyAlignment="1">
      <alignment horizontal="left" vertical="center" wrapText="1"/>
    </xf>
    <xf numFmtId="0" fontId="2" fillId="6" borderId="14" xfId="0" applyFont="1" applyFill="1" applyBorder="1" applyAlignment="1">
      <alignment horizontal="left" vertical="center" wrapText="1"/>
    </xf>
    <xf numFmtId="0" fontId="2" fillId="6" borderId="50" xfId="0" applyFont="1" applyFill="1" applyBorder="1" applyAlignment="1">
      <alignment horizontal="left" vertical="center" wrapText="1"/>
    </xf>
    <xf numFmtId="4" fontId="28" fillId="0" borderId="107" xfId="0" applyNumberFormat="1" applyFont="1" applyBorder="1" applyAlignment="1">
      <alignment horizontal="center" vertical="center" wrapText="1"/>
    </xf>
    <xf numFmtId="4" fontId="28" fillId="0" borderId="25" xfId="0" applyNumberFormat="1" applyFont="1" applyBorder="1" applyAlignment="1">
      <alignment horizontal="center" vertical="center" wrapText="1"/>
    </xf>
    <xf numFmtId="0" fontId="2" fillId="0" borderId="10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13" fillId="9" borderId="23" xfId="0" applyNumberFormat="1" applyFont="1" applyFill="1" applyBorder="1" applyAlignment="1">
      <alignment horizontal="left" vertical="center" wrapText="1"/>
    </xf>
    <xf numFmtId="0" fontId="13" fillId="9" borderId="31" xfId="0" applyNumberFormat="1" applyFont="1" applyFill="1" applyBorder="1" applyAlignment="1">
      <alignment horizontal="left" vertical="center" wrapText="1"/>
    </xf>
    <xf numFmtId="0" fontId="13" fillId="9" borderId="24" xfId="0" applyNumberFormat="1" applyFont="1" applyFill="1" applyBorder="1" applyAlignment="1">
      <alignment horizontal="left" vertical="center" wrapText="1"/>
    </xf>
    <xf numFmtId="0" fontId="13" fillId="9" borderId="60" xfId="0" applyNumberFormat="1" applyFont="1" applyFill="1" applyBorder="1" applyAlignment="1">
      <alignment horizontal="left" vertical="center" wrapText="1"/>
    </xf>
    <xf numFmtId="0" fontId="13" fillId="9" borderId="30" xfId="0" applyNumberFormat="1" applyFont="1" applyFill="1" applyBorder="1" applyAlignment="1">
      <alignment horizontal="left" vertical="center" wrapText="1"/>
    </xf>
    <xf numFmtId="0" fontId="13" fillId="9" borderId="126" xfId="0" applyNumberFormat="1" applyFont="1" applyFill="1" applyBorder="1" applyAlignment="1">
      <alignment horizontal="left" vertical="center" wrapText="1"/>
    </xf>
    <xf numFmtId="2" fontId="28" fillId="0" borderId="53" xfId="0" applyNumberFormat="1" applyFont="1" applyFill="1" applyBorder="1" applyAlignment="1">
      <alignment horizontal="left" vertical="top" wrapText="1"/>
    </xf>
    <xf numFmtId="2" fontId="28" fillId="0" borderId="22" xfId="0" applyNumberFormat="1" applyFont="1" applyFill="1" applyBorder="1" applyAlignment="1">
      <alignment horizontal="left" vertical="top" wrapText="1"/>
    </xf>
    <xf numFmtId="0" fontId="2" fillId="6" borderId="47" xfId="0" applyFont="1" applyFill="1" applyBorder="1" applyAlignment="1">
      <alignment horizontal="left" vertical="center" wrapText="1"/>
    </xf>
    <xf numFmtId="0" fontId="2" fillId="6" borderId="48" xfId="0" applyFont="1" applyFill="1" applyBorder="1" applyAlignment="1">
      <alignment horizontal="left" vertical="center" wrapText="1"/>
    </xf>
    <xf numFmtId="0" fontId="2" fillId="6" borderId="49" xfId="0" applyFont="1" applyFill="1" applyBorder="1" applyAlignment="1">
      <alignment horizontal="left" vertical="center" wrapText="1"/>
    </xf>
    <xf numFmtId="0" fontId="14" fillId="0" borderId="108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14" fillId="0" borderId="107" xfId="0" applyFont="1" applyBorder="1" applyAlignment="1">
      <alignment horizontal="center" vertical="center" wrapText="1"/>
    </xf>
    <xf numFmtId="0" fontId="14" fillId="0" borderId="60" xfId="0" applyFont="1" applyBorder="1" applyAlignment="1">
      <alignment horizontal="center" vertical="center" wrapText="1"/>
    </xf>
    <xf numFmtId="2" fontId="28" fillId="0" borderId="53" xfId="0" applyNumberFormat="1" applyFont="1" applyFill="1" applyBorder="1" applyAlignment="1">
      <alignment horizontal="left"/>
    </xf>
    <xf numFmtId="2" fontId="28" fillId="0" borderId="22" xfId="0" applyNumberFormat="1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right" vertical="center" wrapText="1"/>
    </xf>
    <xf numFmtId="0" fontId="2" fillId="0" borderId="11" xfId="0" applyFont="1" applyFill="1" applyBorder="1" applyAlignment="1">
      <alignment horizontal="right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18" fillId="0" borderId="57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/>
    </xf>
    <xf numFmtId="0" fontId="18" fillId="0" borderId="4" xfId="0" applyFont="1" applyFill="1" applyBorder="1" applyAlignment="1">
      <alignment horizontal="left" vertical="top" wrapText="1"/>
    </xf>
    <xf numFmtId="0" fontId="18" fillId="0" borderId="59" xfId="0" applyFont="1" applyFill="1" applyBorder="1" applyAlignment="1">
      <alignment horizontal="left" vertical="top" wrapText="1"/>
    </xf>
    <xf numFmtId="0" fontId="18" fillId="0" borderId="10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2" xfId="0" applyFont="1" applyFill="1" applyBorder="1" applyAlignment="1">
      <alignment vertical="top" wrapText="1"/>
    </xf>
    <xf numFmtId="0" fontId="18" fillId="0" borderId="3" xfId="0" applyFont="1" applyFill="1" applyBorder="1" applyAlignment="1">
      <alignment vertical="top" wrapText="1"/>
    </xf>
    <xf numFmtId="0" fontId="18" fillId="0" borderId="4" xfId="0" applyFont="1" applyFill="1" applyBorder="1" applyAlignment="1">
      <alignment vertical="top" wrapText="1"/>
    </xf>
    <xf numFmtId="0" fontId="18" fillId="0" borderId="2" xfId="0" applyFont="1" applyFill="1" applyBorder="1" applyAlignment="1">
      <alignment horizontal="left" vertical="top" wrapText="1"/>
    </xf>
    <xf numFmtId="0" fontId="18" fillId="0" borderId="20" xfId="0" applyFont="1" applyFill="1" applyBorder="1" applyAlignment="1">
      <alignment horizontal="left" vertical="top" wrapText="1"/>
    </xf>
    <xf numFmtId="0" fontId="18" fillId="0" borderId="9" xfId="0" applyFont="1" applyFill="1" applyBorder="1" applyAlignment="1">
      <alignment horizontal="left" vertical="top" wrapText="1"/>
    </xf>
    <xf numFmtId="0" fontId="19" fillId="0" borderId="19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20" xfId="0" applyFont="1" applyFill="1" applyBorder="1" applyAlignment="1">
      <alignment horizontal="center" wrapText="1"/>
    </xf>
    <xf numFmtId="0" fontId="18" fillId="0" borderId="60" xfId="0" applyFont="1" applyFill="1" applyBorder="1" applyAlignment="1">
      <alignment horizontal="left" vertical="top" wrapText="1"/>
    </xf>
    <xf numFmtId="0" fontId="18" fillId="0" borderId="61" xfId="0" applyFont="1" applyFill="1" applyBorder="1" applyAlignment="1">
      <alignment horizontal="left" vertical="top" wrapText="1"/>
    </xf>
    <xf numFmtId="0" fontId="18" fillId="0" borderId="38" xfId="0" applyFont="1" applyFill="1" applyBorder="1" applyAlignment="1">
      <alignment horizontal="left" vertical="top" wrapText="1"/>
    </xf>
    <xf numFmtId="0" fontId="18" fillId="0" borderId="77" xfId="0" applyFont="1" applyFill="1" applyBorder="1" applyAlignment="1">
      <alignment horizontal="left" vertical="top"/>
    </xf>
    <xf numFmtId="0" fontId="18" fillId="0" borderId="30" xfId="0" applyFont="1" applyFill="1" applyBorder="1" applyAlignment="1">
      <alignment horizontal="left" vertical="top"/>
    </xf>
    <xf numFmtId="0" fontId="18" fillId="0" borderId="61" xfId="0" applyFont="1" applyFill="1" applyBorder="1" applyAlignment="1">
      <alignment horizontal="left" vertical="top"/>
    </xf>
    <xf numFmtId="44" fontId="19" fillId="0" borderId="10" xfId="6" applyFont="1" applyFill="1" applyBorder="1" applyAlignment="1">
      <alignment horizontal="left" vertical="top"/>
    </xf>
    <xf numFmtId="44" fontId="19" fillId="0" borderId="11" xfId="6" applyFont="1" applyFill="1" applyBorder="1" applyAlignment="1">
      <alignment horizontal="left" vertical="top"/>
    </xf>
    <xf numFmtId="0" fontId="18" fillId="0" borderId="23" xfId="0" applyFont="1" applyFill="1" applyBorder="1" applyAlignment="1">
      <alignment horizontal="left" vertical="top" wrapText="1"/>
    </xf>
    <xf numFmtId="0" fontId="18" fillId="0" borderId="31" xfId="0" applyFont="1" applyFill="1" applyBorder="1" applyAlignment="1">
      <alignment horizontal="left" vertical="top" wrapText="1"/>
    </xf>
    <xf numFmtId="0" fontId="18" fillId="0" borderId="58" xfId="0" applyFont="1" applyFill="1" applyBorder="1" applyAlignment="1">
      <alignment horizontal="left" vertical="top" wrapText="1"/>
    </xf>
    <xf numFmtId="0" fontId="18" fillId="0" borderId="46" xfId="0" applyFont="1" applyFill="1" applyBorder="1" applyAlignment="1">
      <alignment horizontal="left" vertical="top" wrapText="1"/>
    </xf>
    <xf numFmtId="44" fontId="19" fillId="0" borderId="98" xfId="6" applyFont="1" applyBorder="1" applyAlignment="1">
      <alignment horizontal="left" vertical="top" shrinkToFit="1"/>
    </xf>
    <xf numFmtId="44" fontId="19" fillId="0" borderId="66" xfId="6" applyFont="1" applyBorder="1" applyAlignment="1">
      <alignment horizontal="left" vertical="top" shrinkToFit="1"/>
    </xf>
    <xf numFmtId="44" fontId="19" fillId="0" borderId="68" xfId="6" applyFont="1" applyBorder="1" applyAlignment="1">
      <alignment horizontal="left" vertical="top" shrinkToFit="1"/>
    </xf>
    <xf numFmtId="44" fontId="18" fillId="0" borderId="97" xfId="0" applyNumberFormat="1" applyFont="1" applyFill="1" applyBorder="1" applyAlignment="1">
      <alignment horizontal="left" vertical="top" wrapText="1"/>
    </xf>
    <xf numFmtId="44" fontId="18" fillId="0" borderId="14" xfId="0" applyNumberFormat="1" applyFont="1" applyFill="1" applyBorder="1" applyAlignment="1">
      <alignment horizontal="left" vertical="top" wrapText="1"/>
    </xf>
    <xf numFmtId="44" fontId="18" fillId="0" borderId="15" xfId="0" applyNumberFormat="1" applyFont="1" applyFill="1" applyBorder="1" applyAlignment="1">
      <alignment horizontal="left" vertical="top" wrapText="1"/>
    </xf>
    <xf numFmtId="0" fontId="18" fillId="0" borderId="97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left" vertical="top" wrapText="1"/>
    </xf>
    <xf numFmtId="0" fontId="18" fillId="0" borderId="15" xfId="0" applyFont="1" applyFill="1" applyBorder="1" applyAlignment="1">
      <alignment horizontal="left" vertical="top" wrapText="1"/>
    </xf>
    <xf numFmtId="44" fontId="19" fillId="0" borderId="97" xfId="6" applyFont="1" applyBorder="1" applyAlignment="1">
      <alignment horizontal="left" vertical="top" shrinkToFit="1"/>
    </xf>
    <xf numFmtId="44" fontId="19" fillId="0" borderId="14" xfId="6" applyFont="1" applyBorder="1" applyAlignment="1">
      <alignment horizontal="left" vertical="top" shrinkToFit="1"/>
    </xf>
    <xf numFmtId="44" fontId="19" fillId="0" borderId="15" xfId="6" applyFont="1" applyBorder="1" applyAlignment="1">
      <alignment horizontal="left" vertical="top" shrinkToFit="1"/>
    </xf>
    <xf numFmtId="44" fontId="19" fillId="0" borderId="13" xfId="6" applyFont="1" applyBorder="1" applyAlignment="1">
      <alignment horizontal="left" vertical="top" shrinkToFit="1"/>
    </xf>
    <xf numFmtId="44" fontId="19" fillId="0" borderId="97" xfId="6" applyFont="1" applyFill="1" applyBorder="1" applyAlignment="1">
      <alignment vertical="top" shrinkToFit="1"/>
    </xf>
    <xf numFmtId="44" fontId="19" fillId="0" borderId="14" xfId="6" applyFont="1" applyFill="1" applyBorder="1" applyAlignment="1">
      <alignment vertical="top" shrinkToFit="1"/>
    </xf>
    <xf numFmtId="44" fontId="19" fillId="0" borderId="15" xfId="6" applyFont="1" applyFill="1" applyBorder="1" applyAlignment="1">
      <alignment vertical="top" shrinkToFit="1"/>
    </xf>
    <xf numFmtId="44" fontId="19" fillId="0" borderId="99" xfId="6" applyFont="1" applyFill="1" applyBorder="1" applyAlignment="1">
      <alignment vertical="top" shrinkToFit="1"/>
    </xf>
    <xf numFmtId="44" fontId="19" fillId="0" borderId="94" xfId="6" applyFont="1" applyFill="1" applyBorder="1" applyAlignment="1">
      <alignment vertical="top" shrinkToFit="1"/>
    </xf>
    <xf numFmtId="44" fontId="19" fillId="0" borderId="95" xfId="6" applyFont="1" applyFill="1" applyBorder="1" applyAlignment="1">
      <alignment vertical="top" shrinkToFit="1"/>
    </xf>
    <xf numFmtId="44" fontId="19" fillId="0" borderId="98" xfId="6" applyFont="1" applyBorder="1" applyAlignment="1">
      <alignment vertical="top" shrinkToFit="1"/>
    </xf>
    <xf numFmtId="44" fontId="19" fillId="0" borderId="66" xfId="6" applyFont="1" applyBorder="1" applyAlignment="1">
      <alignment vertical="top" shrinkToFit="1"/>
    </xf>
    <xf numFmtId="44" fontId="19" fillId="0" borderId="68" xfId="6" applyFont="1" applyBorder="1" applyAlignment="1">
      <alignment vertical="top" shrinkToFit="1"/>
    </xf>
    <xf numFmtId="44" fontId="19" fillId="0" borderId="97" xfId="6" applyNumberFormat="1" applyFont="1" applyBorder="1" applyAlignment="1">
      <alignment vertical="top" shrinkToFit="1"/>
    </xf>
    <xf numFmtId="44" fontId="19" fillId="0" borderId="14" xfId="6" applyNumberFormat="1" applyFont="1" applyBorder="1" applyAlignment="1">
      <alignment vertical="top" shrinkToFit="1"/>
    </xf>
    <xf numFmtId="44" fontId="19" fillId="0" borderId="15" xfId="6" applyNumberFormat="1" applyFont="1" applyBorder="1" applyAlignment="1">
      <alignment vertical="top" shrinkToFit="1"/>
    </xf>
    <xf numFmtId="44" fontId="19" fillId="0" borderId="70" xfId="6" applyFont="1" applyBorder="1" applyAlignment="1">
      <alignment horizontal="left" vertical="top" shrinkToFit="1"/>
    </xf>
    <xf numFmtId="1" fontId="19" fillId="0" borderId="100" xfId="0" applyNumberFormat="1" applyFont="1" applyFill="1" applyBorder="1" applyAlignment="1">
      <alignment horizontal="center" vertical="top" shrinkToFit="1"/>
    </xf>
    <xf numFmtId="1" fontId="19" fillId="0" borderId="95" xfId="0" applyNumberFormat="1" applyFont="1" applyFill="1" applyBorder="1" applyAlignment="1">
      <alignment horizontal="center" vertical="top" shrinkToFit="1"/>
    </xf>
    <xf numFmtId="0" fontId="18" fillId="0" borderId="93" xfId="0" applyFont="1" applyFill="1" applyBorder="1" applyAlignment="1">
      <alignment horizontal="left" vertical="top" wrapText="1"/>
    </xf>
    <xf numFmtId="0" fontId="18" fillId="0" borderId="94" xfId="0" applyFont="1" applyFill="1" applyBorder="1" applyAlignment="1">
      <alignment horizontal="left" vertical="top" wrapText="1"/>
    </xf>
    <xf numFmtId="0" fontId="18" fillId="0" borderId="95" xfId="0" applyFont="1" applyFill="1" applyBorder="1" applyAlignment="1">
      <alignment horizontal="left" vertical="top" wrapText="1"/>
    </xf>
    <xf numFmtId="44" fontId="19" fillId="0" borderId="13" xfId="6" applyFont="1" applyFill="1" applyBorder="1" applyAlignment="1">
      <alignment horizontal="left" vertical="top" shrinkToFit="1"/>
    </xf>
    <xf numFmtId="44" fontId="19" fillId="0" borderId="14" xfId="6" applyFont="1" applyFill="1" applyBorder="1" applyAlignment="1">
      <alignment horizontal="left" vertical="top" shrinkToFit="1"/>
    </xf>
    <xf numFmtId="44" fontId="19" fillId="0" borderId="15" xfId="6" applyFont="1" applyFill="1" applyBorder="1" applyAlignment="1">
      <alignment horizontal="left" vertical="top" shrinkToFit="1"/>
    </xf>
    <xf numFmtId="44" fontId="18" fillId="0" borderId="0" xfId="0" applyNumberFormat="1" applyFont="1" applyFill="1" applyBorder="1" applyAlignment="1">
      <alignment horizontal="right" vertical="top" wrapText="1" indent="1"/>
    </xf>
    <xf numFmtId="0" fontId="24" fillId="13" borderId="16" xfId="0" applyFont="1" applyFill="1" applyBorder="1" applyAlignment="1">
      <alignment horizontal="center" vertical="center" wrapText="1"/>
    </xf>
    <xf numFmtId="0" fontId="24" fillId="13" borderId="17" xfId="0" applyFont="1" applyFill="1" applyBorder="1" applyAlignment="1">
      <alignment horizontal="center" vertical="center" wrapText="1"/>
    </xf>
    <xf numFmtId="0" fontId="24" fillId="13" borderId="19" xfId="0" applyFont="1" applyFill="1" applyBorder="1" applyAlignment="1">
      <alignment horizontal="center" vertical="center" wrapText="1"/>
    </xf>
    <xf numFmtId="0" fontId="24" fillId="13" borderId="0" xfId="0" applyFont="1" applyFill="1" applyBorder="1" applyAlignment="1">
      <alignment horizontal="center" vertical="center" wrapText="1"/>
    </xf>
    <xf numFmtId="0" fontId="19" fillId="0" borderId="101" xfId="0" applyFont="1" applyFill="1" applyBorder="1" applyAlignment="1">
      <alignment horizontal="center" vertical="center" wrapText="1"/>
    </xf>
    <xf numFmtId="0" fontId="19" fillId="0" borderId="102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 wrapText="1"/>
    </xf>
    <xf numFmtId="0" fontId="18" fillId="11" borderId="92" xfId="0" applyFont="1" applyFill="1" applyBorder="1" applyAlignment="1">
      <alignment horizontal="center" vertical="center" wrapText="1"/>
    </xf>
    <xf numFmtId="0" fontId="18" fillId="11" borderId="80" xfId="0" applyFont="1" applyFill="1" applyBorder="1" applyAlignment="1">
      <alignment horizontal="center" vertical="center" wrapText="1"/>
    </xf>
    <xf numFmtId="0" fontId="18" fillId="11" borderId="29" xfId="0" applyFont="1" applyFill="1" applyBorder="1" applyAlignment="1">
      <alignment horizontal="center" vertical="center" wrapText="1"/>
    </xf>
    <xf numFmtId="0" fontId="18" fillId="11" borderId="85" xfId="0" applyFont="1" applyFill="1" applyBorder="1" applyAlignment="1">
      <alignment horizontal="center" vertical="center" wrapText="1"/>
    </xf>
    <xf numFmtId="0" fontId="18" fillId="11" borderId="87" xfId="0" applyFont="1" applyFill="1" applyBorder="1" applyAlignment="1">
      <alignment horizontal="center" vertical="top" wrapText="1"/>
    </xf>
    <xf numFmtId="0" fontId="18" fillId="11" borderId="90" xfId="0" applyFont="1" applyFill="1" applyBorder="1" applyAlignment="1">
      <alignment horizontal="center" vertical="top" wrapText="1"/>
    </xf>
    <xf numFmtId="0" fontId="18" fillId="11" borderId="88" xfId="0" applyFont="1" applyFill="1" applyBorder="1" applyAlignment="1">
      <alignment horizontal="center" vertical="top" wrapText="1"/>
    </xf>
    <xf numFmtId="44" fontId="19" fillId="0" borderId="93" xfId="6" applyFont="1" applyFill="1" applyBorder="1" applyAlignment="1">
      <alignment horizontal="left" vertical="top" shrinkToFit="1"/>
    </xf>
    <xf numFmtId="44" fontId="19" fillId="0" borderId="94" xfId="6" applyFont="1" applyFill="1" applyBorder="1" applyAlignment="1">
      <alignment horizontal="left" vertical="top" shrinkToFit="1"/>
    </xf>
    <xf numFmtId="44" fontId="19" fillId="0" borderId="95" xfId="6" applyFont="1" applyFill="1" applyBorder="1" applyAlignment="1">
      <alignment horizontal="left" vertical="top" shrinkToFit="1"/>
    </xf>
    <xf numFmtId="0" fontId="18" fillId="0" borderId="63" xfId="0" applyFont="1" applyFill="1" applyBorder="1" applyAlignment="1">
      <alignment horizontal="left" vertical="top" wrapText="1"/>
    </xf>
    <xf numFmtId="0" fontId="18" fillId="0" borderId="64" xfId="0" applyFont="1" applyFill="1" applyBorder="1" applyAlignment="1">
      <alignment horizontal="left" vertical="top" wrapText="1"/>
    </xf>
    <xf numFmtId="0" fontId="18" fillId="0" borderId="105" xfId="0" applyFont="1" applyFill="1" applyBorder="1" applyAlignment="1">
      <alignment horizontal="left" vertical="top" wrapText="1"/>
    </xf>
    <xf numFmtId="0" fontId="18" fillId="11" borderId="103" xfId="0" applyFont="1" applyFill="1" applyBorder="1" applyAlignment="1">
      <alignment horizontal="center" vertical="center" wrapText="1"/>
    </xf>
    <xf numFmtId="0" fontId="18" fillId="11" borderId="83" xfId="0" applyFont="1" applyFill="1" applyBorder="1" applyAlignment="1">
      <alignment horizontal="center" vertical="center" wrapText="1"/>
    </xf>
    <xf numFmtId="0" fontId="18" fillId="11" borderId="84" xfId="0" applyFont="1" applyFill="1" applyBorder="1" applyAlignment="1">
      <alignment horizontal="center" vertical="center" wrapText="1"/>
    </xf>
    <xf numFmtId="44" fontId="19" fillId="0" borderId="99" xfId="6" applyFont="1" applyFill="1" applyBorder="1" applyAlignment="1">
      <alignment horizontal="left" vertical="top" shrinkToFit="1"/>
    </xf>
    <xf numFmtId="0" fontId="18" fillId="0" borderId="45" xfId="0" applyFont="1" applyFill="1" applyBorder="1" applyAlignment="1">
      <alignment horizontal="left" vertical="top" wrapText="1"/>
    </xf>
    <xf numFmtId="0" fontId="18" fillId="0" borderId="99" xfId="0" applyFont="1" applyFill="1" applyBorder="1" applyAlignment="1">
      <alignment horizontal="left" vertical="top" wrapText="1"/>
    </xf>
    <xf numFmtId="0" fontId="18" fillId="0" borderId="35" xfId="0" applyFont="1" applyFill="1" applyBorder="1" applyAlignment="1">
      <alignment horizontal="left" vertical="top" wrapText="1"/>
    </xf>
    <xf numFmtId="0" fontId="18" fillId="11" borderId="104" xfId="0" applyFont="1" applyFill="1" applyBorder="1" applyAlignment="1">
      <alignment horizontal="center" vertical="center" wrapText="1"/>
    </xf>
    <xf numFmtId="0" fontId="18" fillId="11" borderId="96" xfId="0" applyFont="1" applyFill="1" applyBorder="1" applyAlignment="1">
      <alignment horizontal="center" vertical="top" wrapText="1"/>
    </xf>
    <xf numFmtId="0" fontId="18" fillId="0" borderId="29" xfId="0" applyFont="1" applyFill="1" applyBorder="1" applyAlignment="1">
      <alignment horizontal="left" vertical="top" wrapText="1"/>
    </xf>
    <xf numFmtId="0" fontId="18" fillId="0" borderId="30" xfId="0" applyFont="1" applyFill="1" applyBorder="1" applyAlignment="1">
      <alignment horizontal="left" vertical="top" wrapText="1"/>
    </xf>
    <xf numFmtId="0" fontId="18" fillId="0" borderId="85" xfId="0" applyFont="1" applyFill="1" applyBorder="1" applyAlignment="1">
      <alignment horizontal="left" vertical="top" wrapText="1"/>
    </xf>
    <xf numFmtId="0" fontId="18" fillId="0" borderId="37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18" fillId="0" borderId="20" xfId="0" applyFont="1" applyFill="1" applyBorder="1" applyAlignment="1">
      <alignment horizontal="left" vertical="center" wrapText="1"/>
    </xf>
    <xf numFmtId="44" fontId="19" fillId="0" borderId="97" xfId="6" applyFont="1" applyBorder="1" applyAlignment="1">
      <alignment vertical="top" shrinkToFit="1"/>
    </xf>
    <xf numFmtId="44" fontId="19" fillId="0" borderId="14" xfId="6" applyFont="1" applyBorder="1" applyAlignment="1">
      <alignment vertical="top" shrinkToFit="1"/>
    </xf>
    <xf numFmtId="44" fontId="19" fillId="0" borderId="15" xfId="6" applyFont="1" applyBorder="1" applyAlignment="1">
      <alignment vertical="top" shrinkToFit="1"/>
    </xf>
    <xf numFmtId="0" fontId="18" fillId="11" borderId="78" xfId="0" applyFont="1" applyFill="1" applyBorder="1" applyAlignment="1">
      <alignment horizontal="center" vertical="center" wrapText="1"/>
    </xf>
    <xf numFmtId="0" fontId="18" fillId="11" borderId="79" xfId="0" applyFont="1" applyFill="1" applyBorder="1" applyAlignment="1">
      <alignment horizontal="center" vertical="center" wrapText="1"/>
    </xf>
    <xf numFmtId="0" fontId="18" fillId="11" borderId="77" xfId="0" applyFont="1" applyFill="1" applyBorder="1" applyAlignment="1">
      <alignment horizontal="center" vertical="center" wrapText="1"/>
    </xf>
    <xf numFmtId="0" fontId="18" fillId="11" borderId="30" xfId="0" applyFont="1" applyFill="1" applyBorder="1" applyAlignment="1">
      <alignment horizontal="center" vertical="center" wrapText="1"/>
    </xf>
    <xf numFmtId="44" fontId="19" fillId="0" borderId="87" xfId="6" applyFont="1" applyFill="1" applyBorder="1" applyAlignment="1">
      <alignment horizontal="left" vertical="top" shrinkToFit="1"/>
    </xf>
    <xf numFmtId="44" fontId="19" fillId="0" borderId="90" xfId="6" applyFont="1" applyFill="1" applyBorder="1" applyAlignment="1">
      <alignment horizontal="left" vertical="top" shrinkToFit="1"/>
    </xf>
    <xf numFmtId="44" fontId="19" fillId="0" borderId="88" xfId="6" applyFont="1" applyFill="1" applyBorder="1" applyAlignment="1">
      <alignment horizontal="left" vertical="top" shrinkToFit="1"/>
    </xf>
    <xf numFmtId="0" fontId="18" fillId="0" borderId="45" xfId="0" applyFont="1" applyBorder="1" applyAlignment="1">
      <alignment horizontal="center" vertical="center" wrapText="1"/>
    </xf>
    <xf numFmtId="0" fontId="18" fillId="0" borderId="4" xfId="0" applyFont="1" applyBorder="1" applyAlignment="1">
      <alignment horizontal="center" vertical="center" wrapText="1"/>
    </xf>
    <xf numFmtId="0" fontId="18" fillId="0" borderId="63" xfId="0" applyFont="1" applyBorder="1" applyAlignment="1">
      <alignment horizontal="center" vertical="center" wrapText="1"/>
    </xf>
    <xf numFmtId="0" fontId="18" fillId="0" borderId="7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left" vertical="top" wrapText="1"/>
    </xf>
    <xf numFmtId="0" fontId="18" fillId="0" borderId="14" xfId="0" applyFont="1" applyBorder="1" applyAlignment="1">
      <alignment horizontal="left" vertical="top" wrapText="1"/>
    </xf>
    <xf numFmtId="0" fontId="18" fillId="0" borderId="15" xfId="0" applyFont="1" applyBorder="1" applyAlignment="1">
      <alignment horizontal="left" vertical="top" wrapText="1"/>
    </xf>
    <xf numFmtId="0" fontId="18" fillId="0" borderId="70" xfId="0" applyFont="1" applyBorder="1" applyAlignment="1">
      <alignment horizontal="left" vertical="top" wrapText="1"/>
    </xf>
    <xf numFmtId="0" fontId="18" fillId="0" borderId="66" xfId="0" applyFont="1" applyBorder="1" applyAlignment="1">
      <alignment horizontal="left" vertical="top" wrapText="1"/>
    </xf>
    <xf numFmtId="0" fontId="18" fillId="0" borderId="68" xfId="0" applyFont="1" applyBorder="1" applyAlignment="1">
      <alignment horizontal="left" vertical="top" wrapText="1"/>
    </xf>
    <xf numFmtId="0" fontId="19" fillId="11" borderId="82" xfId="0" applyFont="1" applyFill="1" applyBorder="1" applyAlignment="1">
      <alignment horizontal="left" wrapText="1"/>
    </xf>
    <xf numFmtId="0" fontId="19" fillId="11" borderId="83" xfId="0" applyFont="1" applyFill="1" applyBorder="1" applyAlignment="1">
      <alignment horizontal="left" wrapText="1"/>
    </xf>
    <xf numFmtId="0" fontId="19" fillId="11" borderId="84" xfId="0" applyFont="1" applyFill="1" applyBorder="1" applyAlignment="1">
      <alignment horizontal="left" wrapText="1"/>
    </xf>
    <xf numFmtId="0" fontId="18" fillId="0" borderId="32" xfId="0" applyFont="1" applyFill="1" applyBorder="1" applyAlignment="1">
      <alignment horizontal="left" vertical="top" wrapText="1"/>
    </xf>
    <xf numFmtId="0" fontId="18" fillId="0" borderId="33" xfId="0" applyFont="1" applyFill="1" applyBorder="1" applyAlignment="1">
      <alignment horizontal="left" vertical="top" wrapText="1"/>
    </xf>
    <xf numFmtId="0" fontId="18" fillId="0" borderId="0" xfId="0" applyFont="1" applyFill="1" applyBorder="1" applyAlignment="1">
      <alignment horizontal="center" vertical="top" wrapText="1"/>
    </xf>
    <xf numFmtId="0" fontId="19" fillId="0" borderId="0" xfId="0" applyFont="1" applyFill="1" applyBorder="1" applyAlignment="1">
      <alignment horizontal="center" vertical="top"/>
    </xf>
    <xf numFmtId="0" fontId="19" fillId="0" borderId="3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top" wrapText="1"/>
    </xf>
    <xf numFmtId="0" fontId="18" fillId="0" borderId="3" xfId="0" applyFont="1" applyFill="1" applyBorder="1" applyAlignment="1">
      <alignment horizontal="left" vertical="top" wrapText="1" indent="4"/>
    </xf>
    <xf numFmtId="0" fontId="0" fillId="0" borderId="32" xfId="0" applyFill="1" applyBorder="1" applyAlignment="1">
      <alignment horizontal="left" vertical="top"/>
    </xf>
    <xf numFmtId="0" fontId="0" fillId="0" borderId="33" xfId="0" applyFill="1" applyBorder="1" applyAlignment="1">
      <alignment horizontal="left" vertical="top"/>
    </xf>
    <xf numFmtId="0" fontId="10" fillId="0" borderId="15" xfId="0" applyFont="1" applyFill="1" applyBorder="1" applyAlignment="1">
      <alignment horizontal="left" vertical="top" wrapText="1"/>
    </xf>
    <xf numFmtId="0" fontId="0" fillId="0" borderId="45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46" xfId="0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top" wrapText="1" indent="7"/>
    </xf>
    <xf numFmtId="0" fontId="10" fillId="0" borderId="3" xfId="0" applyFont="1" applyFill="1" applyBorder="1" applyAlignment="1">
      <alignment horizontal="left" vertical="top" wrapText="1" indent="7"/>
    </xf>
    <xf numFmtId="44" fontId="5" fillId="0" borderId="13" xfId="6" applyFont="1" applyFill="1" applyBorder="1" applyAlignment="1">
      <alignment horizontal="center" vertical="top" wrapText="1"/>
    </xf>
    <xf numFmtId="44" fontId="5" fillId="0" borderId="15" xfId="6" applyFont="1" applyFill="1" applyBorder="1" applyAlignment="1">
      <alignment horizontal="center" vertical="top" wrapText="1"/>
    </xf>
    <xf numFmtId="0" fontId="25" fillId="13" borderId="16" xfId="0" applyFont="1" applyFill="1" applyBorder="1" applyAlignment="1">
      <alignment horizontal="center" vertical="top" wrapText="1"/>
    </xf>
    <xf numFmtId="0" fontId="25" fillId="13" borderId="17" xfId="0" applyFont="1" applyFill="1" applyBorder="1" applyAlignment="1">
      <alignment horizontal="center" vertical="top" wrapText="1"/>
    </xf>
    <xf numFmtId="0" fontId="25" fillId="13" borderId="18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10" fillId="0" borderId="19" xfId="0" applyFont="1" applyFill="1" applyBorder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0" fillId="0" borderId="54" xfId="0" applyFill="1" applyBorder="1" applyAlignment="1">
      <alignment horizontal="center" wrapText="1"/>
    </xf>
    <xf numFmtId="0" fontId="0" fillId="0" borderId="55" xfId="0" applyFill="1" applyBorder="1" applyAlignment="1">
      <alignment horizontal="center" wrapText="1"/>
    </xf>
    <xf numFmtId="0" fontId="0" fillId="0" borderId="56" xfId="0" applyFill="1" applyBorder="1" applyAlignment="1">
      <alignment horizontal="center" wrapText="1"/>
    </xf>
    <xf numFmtId="0" fontId="10" fillId="0" borderId="37" xfId="0" applyFont="1" applyFill="1" applyBorder="1" applyAlignment="1">
      <alignment horizontal="left" vertical="top" wrapText="1"/>
    </xf>
    <xf numFmtId="0" fontId="10" fillId="0" borderId="10" xfId="0" applyFont="1" applyFill="1" applyBorder="1" applyAlignment="1">
      <alignment horizontal="left" vertical="top" wrapText="1"/>
    </xf>
    <xf numFmtId="0" fontId="10" fillId="0" borderId="39" xfId="0" applyFont="1" applyFill="1" applyBorder="1" applyAlignment="1">
      <alignment horizontal="left" vertical="top" wrapText="1"/>
    </xf>
    <xf numFmtId="0" fontId="10" fillId="0" borderId="41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center" vertical="top" wrapText="1"/>
    </xf>
    <xf numFmtId="0" fontId="10" fillId="0" borderId="4" xfId="0" applyFont="1" applyFill="1" applyBorder="1" applyAlignment="1">
      <alignment horizontal="center" vertical="top" wrapText="1"/>
    </xf>
    <xf numFmtId="0" fontId="10" fillId="0" borderId="9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0" fillId="0" borderId="1" xfId="0" applyFont="1" applyFill="1" applyBorder="1" applyAlignment="1">
      <alignment horizontal="left" vertical="center" wrapText="1"/>
    </xf>
    <xf numFmtId="0" fontId="10" fillId="0" borderId="8" xfId="0" applyFont="1" applyFill="1" applyBorder="1" applyAlignment="1">
      <alignment horizontal="left" vertical="center" wrapText="1"/>
    </xf>
    <xf numFmtId="0" fontId="10" fillId="0" borderId="40" xfId="0" applyFont="1" applyFill="1" applyBorder="1" applyAlignment="1">
      <alignment horizontal="left" vertical="center" wrapText="1" indent="2"/>
    </xf>
    <xf numFmtId="0" fontId="10" fillId="0" borderId="42" xfId="0" applyFont="1" applyFill="1" applyBorder="1" applyAlignment="1">
      <alignment horizontal="left" vertical="center" wrapText="1" indent="2"/>
    </xf>
    <xf numFmtId="0" fontId="5" fillId="0" borderId="10" xfId="0" applyFont="1" applyFill="1" applyBorder="1" applyAlignment="1">
      <alignment horizontal="left" vertical="top" wrapText="1"/>
    </xf>
    <xf numFmtId="0" fontId="5" fillId="0" borderId="38" xfId="0" applyFont="1" applyFill="1" applyBorder="1" applyAlignment="1">
      <alignment horizontal="left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 wrapText="1"/>
    </xf>
  </cellXfs>
  <cellStyles count="12">
    <cellStyle name="Moeda" xfId="6" builtinId="4"/>
    <cellStyle name="Moeda 4" xfId="7"/>
    <cellStyle name="Normal" xfId="0" builtinId="0"/>
    <cellStyle name="Normal 2 2" xfId="3"/>
    <cellStyle name="Normal 2 2 2" xfId="10"/>
    <cellStyle name="Normal 7" xfId="8"/>
    <cellStyle name="Normal 9" xfId="4"/>
    <cellStyle name="Porcentagem" xfId="1" builtinId="5"/>
    <cellStyle name="Porcentagem 2" xfId="2"/>
    <cellStyle name="Porcentagem 9" xfId="9"/>
    <cellStyle name="Separador de milhares 5" xfId="5"/>
    <cellStyle name="Vírgula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109"/>
  <sheetViews>
    <sheetView tabSelected="1" view="pageBreakPreview" zoomScaleSheetLayoutView="100" workbookViewId="0">
      <selection activeCell="W45" sqref="W45"/>
    </sheetView>
  </sheetViews>
  <sheetFormatPr defaultRowHeight="12" x14ac:dyDescent="0.2"/>
  <cols>
    <col min="1" max="1" width="7.6640625" style="3" customWidth="1"/>
    <col min="2" max="2" width="14.33203125" style="3" customWidth="1"/>
    <col min="3" max="3" width="13.33203125" style="3" customWidth="1"/>
    <col min="4" max="4" width="10.1640625" style="3" customWidth="1"/>
    <col min="5" max="6" width="8.33203125" style="3" customWidth="1"/>
    <col min="7" max="8" width="10.1640625" style="3" customWidth="1"/>
    <col min="9" max="9" width="21.1640625" style="3" customWidth="1"/>
    <col min="10" max="10" width="8.1640625" style="10" customWidth="1"/>
    <col min="11" max="11" width="2.1640625" style="6" customWidth="1"/>
    <col min="12" max="12" width="9.6640625" style="6" customWidth="1"/>
    <col min="13" max="13" width="6" style="6" customWidth="1"/>
    <col min="14" max="14" width="13.5" style="6" customWidth="1"/>
    <col min="15" max="15" width="7.5" style="6" customWidth="1"/>
    <col min="16" max="16" width="5.5" style="6" customWidth="1"/>
    <col min="17" max="17" width="2.6640625" style="6" customWidth="1"/>
    <col min="18" max="18" width="11.6640625" style="6" customWidth="1"/>
    <col min="19" max="19" width="2.5" style="6" customWidth="1"/>
    <col min="20" max="20" width="7.5" style="6" customWidth="1"/>
    <col min="21" max="21" width="12" style="6" customWidth="1"/>
    <col min="22" max="22" width="10.6640625" style="3" bestFit="1" customWidth="1"/>
    <col min="23" max="24" width="14.5" style="3" bestFit="1" customWidth="1"/>
    <col min="25" max="16384" width="9.33203125" style="3"/>
  </cols>
  <sheetData>
    <row r="1" spans="1:21" ht="26.25" customHeight="1" x14ac:dyDescent="0.2">
      <c r="A1" s="330" t="s">
        <v>0</v>
      </c>
      <c r="B1" s="331"/>
      <c r="C1" s="331"/>
      <c r="D1" s="331"/>
      <c r="E1" s="331"/>
      <c r="F1" s="331"/>
      <c r="G1" s="331"/>
      <c r="H1" s="331"/>
      <c r="I1" s="331"/>
      <c r="J1" s="331"/>
      <c r="K1" s="331"/>
      <c r="L1" s="331"/>
      <c r="M1" s="331"/>
      <c r="N1" s="331"/>
      <c r="O1" s="331"/>
      <c r="P1" s="331"/>
      <c r="Q1" s="331"/>
      <c r="R1" s="331"/>
      <c r="S1" s="331"/>
      <c r="T1" s="331"/>
      <c r="U1" s="332"/>
    </row>
    <row r="2" spans="1:21" x14ac:dyDescent="0.2">
      <c r="A2" s="333" t="s">
        <v>1</v>
      </c>
      <c r="B2" s="334"/>
      <c r="C2" s="334"/>
      <c r="D2" s="334"/>
      <c r="E2" s="334"/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5"/>
    </row>
    <row r="3" spans="1:21" x14ac:dyDescent="0.2">
      <c r="A3" s="336" t="s">
        <v>2</v>
      </c>
      <c r="B3" s="337"/>
      <c r="C3" s="337"/>
      <c r="D3" s="337"/>
      <c r="E3" s="337"/>
      <c r="F3" s="337"/>
      <c r="G3" s="337"/>
      <c r="H3" s="337"/>
      <c r="I3" s="337"/>
      <c r="J3" s="337"/>
      <c r="K3" s="337"/>
      <c r="L3" s="337"/>
      <c r="M3" s="337"/>
      <c r="N3" s="337"/>
      <c r="O3" s="338"/>
      <c r="P3" s="339" t="s">
        <v>3</v>
      </c>
      <c r="Q3" s="340"/>
      <c r="R3" s="340"/>
      <c r="S3" s="340"/>
      <c r="T3" s="340"/>
      <c r="U3" s="341"/>
    </row>
    <row r="4" spans="1:21" x14ac:dyDescent="0.2">
      <c r="A4" s="342" t="s">
        <v>196</v>
      </c>
      <c r="B4" s="343"/>
      <c r="C4" s="343"/>
      <c r="D4" s="343"/>
      <c r="E4" s="343"/>
      <c r="F4" s="343"/>
      <c r="G4" s="343"/>
      <c r="H4" s="343"/>
      <c r="I4" s="343"/>
      <c r="J4" s="343"/>
      <c r="K4" s="343"/>
      <c r="L4" s="343"/>
      <c r="M4" s="343"/>
      <c r="N4" s="343"/>
      <c r="O4" s="344"/>
      <c r="P4" s="345"/>
      <c r="Q4" s="346"/>
      <c r="R4" s="346"/>
      <c r="S4" s="346"/>
      <c r="T4" s="346"/>
      <c r="U4" s="347"/>
    </row>
    <row r="5" spans="1:21" x14ac:dyDescent="0.2">
      <c r="A5" s="348" t="s">
        <v>4</v>
      </c>
      <c r="B5" s="349"/>
      <c r="C5" s="349"/>
      <c r="D5" s="349"/>
      <c r="E5" s="349"/>
      <c r="F5" s="349"/>
      <c r="G5" s="349"/>
      <c r="H5" s="349"/>
      <c r="I5" s="349"/>
      <c r="J5" s="349"/>
      <c r="K5" s="349"/>
      <c r="L5" s="350"/>
      <c r="M5" s="351" t="s">
        <v>229</v>
      </c>
      <c r="N5" s="352"/>
      <c r="O5" s="352"/>
      <c r="P5" s="352"/>
      <c r="Q5" s="352"/>
      <c r="R5" s="352"/>
      <c r="S5" s="352"/>
      <c r="T5" s="353"/>
      <c r="U5" s="159" t="s">
        <v>5</v>
      </c>
    </row>
    <row r="6" spans="1:21" x14ac:dyDescent="0.2">
      <c r="A6" s="354" t="s">
        <v>230</v>
      </c>
      <c r="B6" s="355"/>
      <c r="C6" s="355"/>
      <c r="D6" s="355"/>
      <c r="E6" s="355"/>
      <c r="F6" s="355"/>
      <c r="G6" s="355"/>
      <c r="H6" s="355"/>
      <c r="I6" s="355"/>
      <c r="J6" s="355"/>
      <c r="K6" s="355"/>
      <c r="L6" s="356"/>
      <c r="M6" s="357" t="s">
        <v>228</v>
      </c>
      <c r="N6" s="358"/>
      <c r="O6" s="358"/>
      <c r="P6" s="358"/>
      <c r="Q6" s="358"/>
      <c r="R6" s="358"/>
      <c r="S6" s="358"/>
      <c r="T6" s="359"/>
      <c r="U6" s="32" t="s">
        <v>6</v>
      </c>
    </row>
    <row r="7" spans="1:21" ht="10.35" customHeight="1" x14ac:dyDescent="0.2">
      <c r="A7" s="382"/>
      <c r="B7" s="383"/>
      <c r="C7" s="383"/>
      <c r="D7" s="383"/>
      <c r="E7" s="383"/>
      <c r="F7" s="383"/>
      <c r="G7" s="383"/>
      <c r="H7" s="383"/>
      <c r="I7" s="383"/>
      <c r="J7" s="383"/>
      <c r="K7" s="383"/>
      <c r="L7" s="383"/>
      <c r="M7" s="383"/>
      <c r="N7" s="383"/>
      <c r="O7" s="383"/>
      <c r="P7" s="383"/>
      <c r="Q7" s="383"/>
      <c r="R7" s="383"/>
      <c r="S7" s="383"/>
      <c r="T7" s="383"/>
      <c r="U7" s="384"/>
    </row>
    <row r="8" spans="1:21" ht="18.75" customHeight="1" x14ac:dyDescent="0.2">
      <c r="A8" s="336" t="s">
        <v>60</v>
      </c>
      <c r="B8" s="337"/>
      <c r="C8" s="337"/>
      <c r="D8" s="337"/>
      <c r="E8" s="337"/>
      <c r="F8" s="337"/>
      <c r="G8" s="337"/>
      <c r="H8" s="337"/>
      <c r="I8" s="337"/>
      <c r="J8" s="337"/>
      <c r="K8" s="337"/>
      <c r="L8" s="338"/>
      <c r="M8" s="385" t="s">
        <v>7</v>
      </c>
      <c r="N8" s="386"/>
      <c r="O8" s="386"/>
      <c r="P8" s="386"/>
      <c r="Q8" s="387"/>
      <c r="R8" s="385" t="s">
        <v>8</v>
      </c>
      <c r="S8" s="386"/>
      <c r="T8" s="386"/>
      <c r="U8" s="388"/>
    </row>
    <row r="9" spans="1:21" ht="25.5" customHeight="1" x14ac:dyDescent="0.2">
      <c r="A9" s="354"/>
      <c r="B9" s="355"/>
      <c r="C9" s="355"/>
      <c r="D9" s="355"/>
      <c r="E9" s="355"/>
      <c r="F9" s="355"/>
      <c r="G9" s="355"/>
      <c r="H9" s="355"/>
      <c r="I9" s="355"/>
      <c r="J9" s="355"/>
      <c r="K9" s="355"/>
      <c r="L9" s="356"/>
      <c r="M9" s="357"/>
      <c r="N9" s="358"/>
      <c r="O9" s="358"/>
      <c r="P9" s="358"/>
      <c r="Q9" s="359"/>
      <c r="R9" s="389" t="s">
        <v>241</v>
      </c>
      <c r="S9" s="358"/>
      <c r="T9" s="358"/>
      <c r="U9" s="390"/>
    </row>
    <row r="10" spans="1:21" ht="21.6" customHeight="1" x14ac:dyDescent="0.2">
      <c r="A10" s="406"/>
      <c r="B10" s="407"/>
      <c r="C10" s="407"/>
      <c r="D10" s="407"/>
      <c r="E10" s="407"/>
      <c r="F10" s="407"/>
      <c r="G10" s="407"/>
      <c r="H10" s="407"/>
      <c r="I10" s="407"/>
      <c r="J10" s="407"/>
      <c r="K10" s="407"/>
      <c r="L10" s="328"/>
      <c r="M10" s="403" t="s">
        <v>118</v>
      </c>
      <c r="N10" s="404"/>
      <c r="O10" s="404"/>
      <c r="P10" s="404"/>
      <c r="Q10" s="404"/>
      <c r="R10" s="404"/>
      <c r="S10" s="404"/>
      <c r="T10" s="404"/>
      <c r="U10" s="405"/>
    </row>
    <row r="11" spans="1:21" ht="23.25" customHeight="1" x14ac:dyDescent="0.2">
      <c r="A11" s="400" t="s">
        <v>9</v>
      </c>
      <c r="B11" s="401"/>
      <c r="C11" s="401"/>
      <c r="D11" s="402"/>
      <c r="E11" s="362" t="s">
        <v>10</v>
      </c>
      <c r="F11" s="363"/>
      <c r="G11" s="363"/>
      <c r="H11" s="364"/>
      <c r="I11" s="365" t="s">
        <v>11</v>
      </c>
      <c r="J11" s="366"/>
      <c r="K11" s="366"/>
      <c r="L11" s="366"/>
      <c r="M11" s="367"/>
      <c r="N11" s="368" t="s">
        <v>12</v>
      </c>
      <c r="O11" s="369"/>
      <c r="P11" s="369"/>
      <c r="Q11" s="369"/>
      <c r="R11" s="369"/>
      <c r="S11" s="370"/>
      <c r="T11" s="371">
        <v>0.25690000000000002</v>
      </c>
      <c r="U11" s="372"/>
    </row>
    <row r="12" spans="1:21" x14ac:dyDescent="0.2">
      <c r="A12" s="375" t="s">
        <v>112</v>
      </c>
      <c r="B12" s="286"/>
      <c r="C12" s="286"/>
      <c r="D12" s="287"/>
      <c r="E12" s="237" t="s">
        <v>13</v>
      </c>
      <c r="F12" s="4">
        <v>3.2000000000000002E-3</v>
      </c>
      <c r="G12" s="63" t="s">
        <v>14</v>
      </c>
      <c r="H12" s="5">
        <v>7.4000000000000003E-3</v>
      </c>
      <c r="I12" s="285" t="s">
        <v>113</v>
      </c>
      <c r="J12" s="286"/>
      <c r="K12" s="286"/>
      <c r="L12" s="373">
        <v>3.2000000000000002E-3</v>
      </c>
      <c r="M12" s="374"/>
      <c r="N12" s="391" t="s">
        <v>15</v>
      </c>
      <c r="O12" s="392"/>
      <c r="P12" s="392"/>
      <c r="Q12" s="392"/>
      <c r="R12" s="392"/>
      <c r="S12" s="392"/>
      <c r="T12" s="392"/>
      <c r="U12" s="393"/>
    </row>
    <row r="13" spans="1:21" x14ac:dyDescent="0.2">
      <c r="A13" s="375" t="s">
        <v>16</v>
      </c>
      <c r="B13" s="286"/>
      <c r="C13" s="286"/>
      <c r="D13" s="287"/>
      <c r="E13" s="237" t="s">
        <v>13</v>
      </c>
      <c r="F13" s="4">
        <v>5.0000000000000001E-3</v>
      </c>
      <c r="G13" s="63" t="s">
        <v>14</v>
      </c>
      <c r="H13" s="5">
        <v>9.7000000000000003E-3</v>
      </c>
      <c r="I13" s="285" t="s">
        <v>17</v>
      </c>
      <c r="J13" s="286"/>
      <c r="K13" s="286"/>
      <c r="L13" s="373">
        <v>5.0000000000000001E-3</v>
      </c>
      <c r="M13" s="374"/>
      <c r="N13" s="394"/>
      <c r="O13" s="395"/>
      <c r="P13" s="395"/>
      <c r="Q13" s="395"/>
      <c r="R13" s="395"/>
      <c r="S13" s="395"/>
      <c r="T13" s="395"/>
      <c r="U13" s="396"/>
    </row>
    <row r="14" spans="1:21" x14ac:dyDescent="0.2">
      <c r="A14" s="375" t="s">
        <v>18</v>
      </c>
      <c r="B14" s="286"/>
      <c r="C14" s="286"/>
      <c r="D14" s="287"/>
      <c r="E14" s="237" t="s">
        <v>13</v>
      </c>
      <c r="F14" s="4">
        <v>1.0200000000000001E-2</v>
      </c>
      <c r="G14" s="63" t="s">
        <v>14</v>
      </c>
      <c r="H14" s="5">
        <v>1.21E-2</v>
      </c>
      <c r="I14" s="285" t="s">
        <v>19</v>
      </c>
      <c r="J14" s="286"/>
      <c r="K14" s="286"/>
      <c r="L14" s="373">
        <v>1.0200000000000001E-2</v>
      </c>
      <c r="M14" s="374"/>
      <c r="N14" s="394"/>
      <c r="O14" s="395"/>
      <c r="P14" s="395"/>
      <c r="Q14" s="395"/>
      <c r="R14" s="395"/>
      <c r="S14" s="395"/>
      <c r="T14" s="395"/>
      <c r="U14" s="396"/>
    </row>
    <row r="15" spans="1:21" x14ac:dyDescent="0.2">
      <c r="A15" s="375" t="s">
        <v>20</v>
      </c>
      <c r="B15" s="286"/>
      <c r="C15" s="286"/>
      <c r="D15" s="287"/>
      <c r="E15" s="237" t="s">
        <v>13</v>
      </c>
      <c r="F15" s="4">
        <v>3.7999999999999999E-2</v>
      </c>
      <c r="G15" s="63" t="s">
        <v>14</v>
      </c>
      <c r="H15" s="5">
        <v>4.6699999999999998E-2</v>
      </c>
      <c r="I15" s="285" t="s">
        <v>21</v>
      </c>
      <c r="J15" s="286"/>
      <c r="K15" s="286"/>
      <c r="L15" s="373">
        <v>3.7999999999999999E-2</v>
      </c>
      <c r="M15" s="374"/>
      <c r="N15" s="394"/>
      <c r="O15" s="395"/>
      <c r="P15" s="395"/>
      <c r="Q15" s="395"/>
      <c r="R15" s="395"/>
      <c r="S15" s="395"/>
      <c r="T15" s="395"/>
      <c r="U15" s="396"/>
    </row>
    <row r="16" spans="1:21" x14ac:dyDescent="0.2">
      <c r="A16" s="375" t="s">
        <v>22</v>
      </c>
      <c r="B16" s="286"/>
      <c r="C16" s="286"/>
      <c r="D16" s="287"/>
      <c r="E16" s="237" t="s">
        <v>13</v>
      </c>
      <c r="F16" s="4">
        <v>6.6400000000000001E-2</v>
      </c>
      <c r="G16" s="63" t="s">
        <v>14</v>
      </c>
      <c r="H16" s="5">
        <v>8.6900000000000005E-2</v>
      </c>
      <c r="I16" s="285" t="s">
        <v>23</v>
      </c>
      <c r="J16" s="286"/>
      <c r="K16" s="286"/>
      <c r="L16" s="373">
        <v>6.6400000000000001E-2</v>
      </c>
      <c r="M16" s="374"/>
      <c r="N16" s="394"/>
      <c r="O16" s="395"/>
      <c r="P16" s="395"/>
      <c r="Q16" s="395"/>
      <c r="R16" s="395"/>
      <c r="S16" s="395"/>
      <c r="T16" s="395"/>
      <c r="U16" s="396"/>
    </row>
    <row r="17" spans="1:22" x14ac:dyDescent="0.2">
      <c r="A17" s="375" t="s">
        <v>24</v>
      </c>
      <c r="B17" s="286"/>
      <c r="C17" s="286"/>
      <c r="D17" s="287"/>
      <c r="E17" s="237" t="s">
        <v>13</v>
      </c>
      <c r="F17" s="4">
        <v>5.1499999999999997E-2</v>
      </c>
      <c r="G17" s="63" t="s">
        <v>14</v>
      </c>
      <c r="H17" s="5">
        <v>8.6499999999999994E-2</v>
      </c>
      <c r="I17" s="285" t="s">
        <v>25</v>
      </c>
      <c r="J17" s="286"/>
      <c r="K17" s="286"/>
      <c r="L17" s="373">
        <v>6.1499999999999999E-2</v>
      </c>
      <c r="M17" s="374"/>
      <c r="N17" s="397"/>
      <c r="O17" s="398"/>
      <c r="P17" s="398"/>
      <c r="Q17" s="398"/>
      <c r="R17" s="398"/>
      <c r="S17" s="398"/>
      <c r="T17" s="398"/>
      <c r="U17" s="399"/>
    </row>
    <row r="18" spans="1:22" x14ac:dyDescent="0.2">
      <c r="A18" s="376"/>
      <c r="B18" s="377"/>
      <c r="C18" s="377"/>
      <c r="D18" s="377"/>
      <c r="E18" s="377"/>
      <c r="F18" s="377"/>
      <c r="G18" s="377"/>
      <c r="H18" s="377"/>
      <c r="I18" s="377"/>
      <c r="J18" s="377"/>
      <c r="K18" s="377"/>
      <c r="L18" s="377"/>
      <c r="M18" s="377"/>
      <c r="N18" s="377"/>
      <c r="O18" s="377"/>
      <c r="P18" s="377"/>
      <c r="Q18" s="377"/>
      <c r="R18" s="377"/>
      <c r="S18" s="377"/>
      <c r="T18" s="377"/>
      <c r="U18" s="378"/>
    </row>
    <row r="19" spans="1:22" x14ac:dyDescent="0.2">
      <c r="A19" s="379" t="s">
        <v>26</v>
      </c>
      <c r="B19" s="304" t="s">
        <v>27</v>
      </c>
      <c r="C19" s="304" t="s">
        <v>28</v>
      </c>
      <c r="D19" s="295" t="s">
        <v>29</v>
      </c>
      <c r="E19" s="296"/>
      <c r="F19" s="296"/>
      <c r="G19" s="296"/>
      <c r="H19" s="296"/>
      <c r="I19" s="297"/>
      <c r="J19" s="304" t="s">
        <v>30</v>
      </c>
      <c r="K19" s="307" t="s">
        <v>31</v>
      </c>
      <c r="L19" s="308"/>
      <c r="M19" s="309"/>
      <c r="N19" s="316" t="s">
        <v>32</v>
      </c>
      <c r="O19" s="317"/>
      <c r="P19" s="317"/>
      <c r="Q19" s="317"/>
      <c r="R19" s="317"/>
      <c r="S19" s="317"/>
      <c r="T19" s="317"/>
      <c r="U19" s="318"/>
    </row>
    <row r="20" spans="1:22" x14ac:dyDescent="0.2">
      <c r="A20" s="380"/>
      <c r="B20" s="305"/>
      <c r="C20" s="305"/>
      <c r="D20" s="298"/>
      <c r="E20" s="299"/>
      <c r="F20" s="299"/>
      <c r="G20" s="299"/>
      <c r="H20" s="299"/>
      <c r="I20" s="300"/>
      <c r="J20" s="305"/>
      <c r="K20" s="310"/>
      <c r="L20" s="311"/>
      <c r="M20" s="312"/>
      <c r="N20" s="316" t="s">
        <v>33</v>
      </c>
      <c r="O20" s="317"/>
      <c r="P20" s="329"/>
      <c r="Q20" s="316" t="s">
        <v>34</v>
      </c>
      <c r="R20" s="317"/>
      <c r="S20" s="317"/>
      <c r="T20" s="317"/>
      <c r="U20" s="318"/>
    </row>
    <row r="21" spans="1:22" ht="25.5" customHeight="1" x14ac:dyDescent="0.2">
      <c r="A21" s="381"/>
      <c r="B21" s="306"/>
      <c r="C21" s="306"/>
      <c r="D21" s="301"/>
      <c r="E21" s="302"/>
      <c r="F21" s="302"/>
      <c r="G21" s="302"/>
      <c r="H21" s="302"/>
      <c r="I21" s="303"/>
      <c r="J21" s="306"/>
      <c r="K21" s="313"/>
      <c r="L21" s="314"/>
      <c r="M21" s="315"/>
      <c r="N21" s="7" t="s">
        <v>35</v>
      </c>
      <c r="O21" s="316" t="s">
        <v>36</v>
      </c>
      <c r="P21" s="329"/>
      <c r="Q21" s="316" t="s">
        <v>35</v>
      </c>
      <c r="R21" s="329"/>
      <c r="S21" s="316" t="s">
        <v>36</v>
      </c>
      <c r="T21" s="317"/>
      <c r="U21" s="318"/>
    </row>
    <row r="22" spans="1:22" ht="15.75" customHeight="1" x14ac:dyDescent="0.2">
      <c r="A22" s="319" t="str">
        <f>A6</f>
        <v>CONSTRUÇÃO DO MURO DO CEMITÉRIO NO DISTRITO DE NOVA MINDA, JAPONVAR/MG</v>
      </c>
      <c r="B22" s="320"/>
      <c r="C22" s="320"/>
      <c r="D22" s="320"/>
      <c r="E22" s="320"/>
      <c r="F22" s="320"/>
      <c r="G22" s="320"/>
      <c r="H22" s="320"/>
      <c r="I22" s="320"/>
      <c r="J22" s="320"/>
      <c r="K22" s="320"/>
      <c r="L22" s="320"/>
      <c r="M22" s="320"/>
      <c r="N22" s="320"/>
      <c r="O22" s="320"/>
      <c r="P22" s="320"/>
      <c r="Q22" s="320"/>
      <c r="R22" s="320"/>
      <c r="S22" s="320"/>
      <c r="T22" s="320"/>
      <c r="U22" s="321"/>
    </row>
    <row r="23" spans="1:22" ht="10.5" customHeight="1" x14ac:dyDescent="0.2">
      <c r="A23" s="33" t="s">
        <v>133</v>
      </c>
      <c r="B23" s="327"/>
      <c r="C23" s="328"/>
      <c r="D23" s="282" t="s">
        <v>254</v>
      </c>
      <c r="E23" s="283"/>
      <c r="F23" s="283"/>
      <c r="G23" s="283"/>
      <c r="H23" s="283"/>
      <c r="I23" s="283"/>
      <c r="J23" s="283"/>
      <c r="K23" s="283"/>
      <c r="L23" s="283"/>
      <c r="M23" s="283"/>
      <c r="N23" s="283"/>
      <c r="O23" s="283"/>
      <c r="P23" s="283"/>
      <c r="Q23" s="283"/>
      <c r="R23" s="283"/>
      <c r="S23" s="283"/>
      <c r="T23" s="283"/>
      <c r="U23" s="284"/>
    </row>
    <row r="24" spans="1:22" ht="17.25" customHeight="1" x14ac:dyDescent="0.2">
      <c r="A24" s="34" t="s">
        <v>37</v>
      </c>
      <c r="B24" s="1">
        <v>104209</v>
      </c>
      <c r="C24" s="1" t="s">
        <v>38</v>
      </c>
      <c r="D24" s="285" t="s">
        <v>108</v>
      </c>
      <c r="E24" s="286"/>
      <c r="F24" s="286"/>
      <c r="G24" s="286"/>
      <c r="H24" s="286"/>
      <c r="I24" s="287"/>
      <c r="J24" s="1" t="s">
        <v>41</v>
      </c>
      <c r="K24" s="288">
        <f>MEMORIA!I11</f>
        <v>4.5</v>
      </c>
      <c r="L24" s="289"/>
      <c r="M24" s="290"/>
      <c r="N24" s="57">
        <v>312.06</v>
      </c>
      <c r="O24" s="322">
        <f>IF(J24="","",ROUND(K24*N24,2))</f>
        <v>1404.27</v>
      </c>
      <c r="P24" s="323"/>
      <c r="Q24" s="322">
        <f>IF(J24="","",ROUND(N24*(1+$T$11),2))</f>
        <v>392.23</v>
      </c>
      <c r="R24" s="323"/>
      <c r="S24" s="322">
        <f>IF(J24="","",ROUND(K24*Q24,2))</f>
        <v>1765.04</v>
      </c>
      <c r="T24" s="360"/>
      <c r="U24" s="361"/>
      <c r="V24" s="44">
        <f>Q24*K24</f>
        <v>1765.0350000000001</v>
      </c>
    </row>
    <row r="25" spans="1:22" x14ac:dyDescent="0.2">
      <c r="A25" s="35"/>
      <c r="B25" s="274" t="s">
        <v>40</v>
      </c>
      <c r="C25" s="275"/>
      <c r="D25" s="275"/>
      <c r="E25" s="275"/>
      <c r="F25" s="275"/>
      <c r="G25" s="275"/>
      <c r="H25" s="275"/>
      <c r="I25" s="275"/>
      <c r="J25" s="275"/>
      <c r="K25" s="275"/>
      <c r="L25" s="275"/>
      <c r="M25" s="275"/>
      <c r="N25" s="275"/>
      <c r="O25" s="275"/>
      <c r="P25" s="275"/>
      <c r="Q25" s="275"/>
      <c r="R25" s="276"/>
      <c r="S25" s="324">
        <f>SUM(S24:U24)</f>
        <v>1765.04</v>
      </c>
      <c r="T25" s="325"/>
      <c r="U25" s="326"/>
      <c r="V25" s="44">
        <f t="shared" ref="V25:V43" si="0">Q25*K25</f>
        <v>0</v>
      </c>
    </row>
    <row r="26" spans="1:22" x14ac:dyDescent="0.2">
      <c r="A26" s="37" t="s">
        <v>131</v>
      </c>
      <c r="B26" s="280"/>
      <c r="C26" s="281"/>
      <c r="D26" s="282" t="s">
        <v>253</v>
      </c>
      <c r="E26" s="283"/>
      <c r="F26" s="283"/>
      <c r="G26" s="283"/>
      <c r="H26" s="283"/>
      <c r="I26" s="283"/>
      <c r="J26" s="283"/>
      <c r="K26" s="283"/>
      <c r="L26" s="283"/>
      <c r="M26" s="283"/>
      <c r="N26" s="283"/>
      <c r="O26" s="283"/>
      <c r="P26" s="283"/>
      <c r="Q26" s="283"/>
      <c r="R26" s="283"/>
      <c r="S26" s="283"/>
      <c r="T26" s="283"/>
      <c r="U26" s="284"/>
      <c r="V26" s="44">
        <f t="shared" si="0"/>
        <v>0</v>
      </c>
    </row>
    <row r="27" spans="1:22" ht="26.25" customHeight="1" x14ac:dyDescent="0.2">
      <c r="A27" s="150" t="s">
        <v>103</v>
      </c>
      <c r="B27" s="1" t="s">
        <v>240</v>
      </c>
      <c r="C27" s="1" t="s">
        <v>172</v>
      </c>
      <c r="D27" s="285" t="s">
        <v>239</v>
      </c>
      <c r="E27" s="286"/>
      <c r="F27" s="286"/>
      <c r="G27" s="286"/>
      <c r="H27" s="286"/>
      <c r="I27" s="287"/>
      <c r="J27" s="1" t="s">
        <v>120</v>
      </c>
      <c r="K27" s="288">
        <f>ROUND(MEMORIA!I21,2)</f>
        <v>5.4</v>
      </c>
      <c r="L27" s="289"/>
      <c r="M27" s="290"/>
      <c r="N27" s="56">
        <v>315.76</v>
      </c>
      <c r="O27" s="291">
        <f t="shared" ref="O27:O30" si="1">IF(J27="","",ROUND(K27*N27,2))</f>
        <v>1705.1</v>
      </c>
      <c r="P27" s="292"/>
      <c r="Q27" s="291">
        <f t="shared" ref="Q27:Q30" si="2">IF(J27="","",ROUND(N27*(1+$T$11),2))</f>
        <v>396.88</v>
      </c>
      <c r="R27" s="292"/>
      <c r="S27" s="291">
        <f t="shared" ref="S27:S30" si="3">IF(J27="","",ROUND(K27*Q27,2))</f>
        <v>2143.15</v>
      </c>
      <c r="T27" s="293"/>
      <c r="U27" s="294"/>
      <c r="V27" s="44">
        <f t="shared" si="0"/>
        <v>2143.152</v>
      </c>
    </row>
    <row r="28" spans="1:22" ht="27" customHeight="1" x14ac:dyDescent="0.2">
      <c r="A28" s="150" t="s">
        <v>192</v>
      </c>
      <c r="B28" s="1" t="s">
        <v>238</v>
      </c>
      <c r="C28" s="1" t="s">
        <v>172</v>
      </c>
      <c r="D28" s="285" t="s">
        <v>237</v>
      </c>
      <c r="E28" s="286"/>
      <c r="F28" s="286"/>
      <c r="G28" s="286"/>
      <c r="H28" s="286"/>
      <c r="I28" s="287"/>
      <c r="J28" s="1" t="s">
        <v>120</v>
      </c>
      <c r="K28" s="288">
        <f>ROUND(MEMORIA!I29,2)</f>
        <v>91.48</v>
      </c>
      <c r="L28" s="289"/>
      <c r="M28" s="290"/>
      <c r="N28" s="156">
        <v>4.3899999999999997</v>
      </c>
      <c r="O28" s="291">
        <f t="shared" si="1"/>
        <v>401.6</v>
      </c>
      <c r="P28" s="292"/>
      <c r="Q28" s="291">
        <f t="shared" si="2"/>
        <v>5.52</v>
      </c>
      <c r="R28" s="292"/>
      <c r="S28" s="291">
        <f t="shared" si="3"/>
        <v>504.97</v>
      </c>
      <c r="T28" s="293"/>
      <c r="U28" s="294"/>
      <c r="V28" s="44">
        <f t="shared" si="0"/>
        <v>504.96959999999996</v>
      </c>
    </row>
    <row r="29" spans="1:22" ht="22.5" customHeight="1" x14ac:dyDescent="0.2">
      <c r="A29" s="150" t="s">
        <v>190</v>
      </c>
      <c r="B29" s="1">
        <v>100576</v>
      </c>
      <c r="C29" s="1" t="s">
        <v>38</v>
      </c>
      <c r="D29" s="285" t="s">
        <v>130</v>
      </c>
      <c r="E29" s="286"/>
      <c r="F29" s="286"/>
      <c r="G29" s="286"/>
      <c r="H29" s="286"/>
      <c r="I29" s="287"/>
      <c r="J29" s="1" t="s">
        <v>41</v>
      </c>
      <c r="K29" s="288">
        <f>ROUND(MEMORIA!I35,2)</f>
        <v>135.43</v>
      </c>
      <c r="L29" s="289"/>
      <c r="M29" s="290"/>
      <c r="N29" s="56">
        <v>1.35</v>
      </c>
      <c r="O29" s="291">
        <f t="shared" si="1"/>
        <v>182.83</v>
      </c>
      <c r="P29" s="292"/>
      <c r="Q29" s="291">
        <f t="shared" si="2"/>
        <v>1.7</v>
      </c>
      <c r="R29" s="292"/>
      <c r="S29" s="291">
        <f t="shared" si="3"/>
        <v>230.23</v>
      </c>
      <c r="T29" s="293"/>
      <c r="U29" s="294"/>
      <c r="V29" s="44">
        <f t="shared" si="0"/>
        <v>230.23099999999999</v>
      </c>
    </row>
    <row r="30" spans="1:22" ht="31.5" customHeight="1" x14ac:dyDescent="0.2">
      <c r="A30" s="150" t="s">
        <v>189</v>
      </c>
      <c r="B30" s="1">
        <v>92791</v>
      </c>
      <c r="C30" s="1" t="s">
        <v>38</v>
      </c>
      <c r="D30" s="285" t="s">
        <v>124</v>
      </c>
      <c r="E30" s="286"/>
      <c r="F30" s="286"/>
      <c r="G30" s="286"/>
      <c r="H30" s="286"/>
      <c r="I30" s="287"/>
      <c r="J30" s="1" t="s">
        <v>121</v>
      </c>
      <c r="K30" s="288">
        <f>ROUND(MEMORIA!I43,2)</f>
        <v>502.46</v>
      </c>
      <c r="L30" s="289"/>
      <c r="M30" s="290"/>
      <c r="N30" s="56">
        <v>6.47</v>
      </c>
      <c r="O30" s="291">
        <f t="shared" si="1"/>
        <v>3250.92</v>
      </c>
      <c r="P30" s="292"/>
      <c r="Q30" s="291">
        <f t="shared" si="2"/>
        <v>8.1300000000000008</v>
      </c>
      <c r="R30" s="292"/>
      <c r="S30" s="291">
        <f t="shared" si="3"/>
        <v>4085</v>
      </c>
      <c r="T30" s="293"/>
      <c r="U30" s="294"/>
      <c r="V30" s="44">
        <f t="shared" si="0"/>
        <v>4084.9998000000001</v>
      </c>
    </row>
    <row r="31" spans="1:22" ht="31.5" customHeight="1" x14ac:dyDescent="0.2">
      <c r="A31" s="150" t="s">
        <v>188</v>
      </c>
      <c r="B31" s="1">
        <v>92793</v>
      </c>
      <c r="C31" s="1" t="s">
        <v>38</v>
      </c>
      <c r="D31" s="285" t="s">
        <v>164</v>
      </c>
      <c r="E31" s="286"/>
      <c r="F31" s="286"/>
      <c r="G31" s="286"/>
      <c r="H31" s="286"/>
      <c r="I31" s="287"/>
      <c r="J31" s="1" t="s">
        <v>121</v>
      </c>
      <c r="K31" s="288">
        <f>ROUND(MEMORIA!I49,2)</f>
        <v>534.96</v>
      </c>
      <c r="L31" s="289"/>
      <c r="M31" s="290"/>
      <c r="N31" s="56">
        <v>6.16</v>
      </c>
      <c r="O31" s="291">
        <f t="shared" ref="O31:O35" si="4">IF(J31="","",ROUND(K31*N31,2))</f>
        <v>3295.35</v>
      </c>
      <c r="P31" s="292"/>
      <c r="Q31" s="291">
        <f t="shared" ref="Q31:Q35" si="5">IF(J31="","",ROUND(N31*(1+$T$11),2))</f>
        <v>7.74</v>
      </c>
      <c r="R31" s="292"/>
      <c r="S31" s="291">
        <f t="shared" ref="S31:S35" si="6">IF(J31="","",ROUND(K31*Q31,2))</f>
        <v>4140.59</v>
      </c>
      <c r="T31" s="293"/>
      <c r="U31" s="294"/>
      <c r="V31" s="44">
        <f t="shared" si="0"/>
        <v>4140.5904</v>
      </c>
    </row>
    <row r="32" spans="1:22" ht="31.5" customHeight="1" x14ac:dyDescent="0.2">
      <c r="A32" s="150" t="s">
        <v>183</v>
      </c>
      <c r="B32" s="1">
        <v>92794</v>
      </c>
      <c r="C32" s="1" t="s">
        <v>38</v>
      </c>
      <c r="D32" s="285" t="s">
        <v>162</v>
      </c>
      <c r="E32" s="286"/>
      <c r="F32" s="286"/>
      <c r="G32" s="286"/>
      <c r="H32" s="286"/>
      <c r="I32" s="287"/>
      <c r="J32" s="1" t="s">
        <v>121</v>
      </c>
      <c r="K32" s="288">
        <f>ROUND(MEMORIA!I55,2)</f>
        <v>262.60000000000002</v>
      </c>
      <c r="L32" s="289"/>
      <c r="M32" s="290"/>
      <c r="N32" s="56">
        <v>5.63</v>
      </c>
      <c r="O32" s="291">
        <f t="shared" si="4"/>
        <v>1478.44</v>
      </c>
      <c r="P32" s="292"/>
      <c r="Q32" s="291">
        <f t="shared" si="5"/>
        <v>7.08</v>
      </c>
      <c r="R32" s="292"/>
      <c r="S32" s="291">
        <f t="shared" si="6"/>
        <v>1859.21</v>
      </c>
      <c r="T32" s="293"/>
      <c r="U32" s="294"/>
      <c r="V32" s="44">
        <f t="shared" si="0"/>
        <v>1859.2080000000001</v>
      </c>
    </row>
    <row r="33" spans="1:22" s="220" customFormat="1" ht="24.75" customHeight="1" x14ac:dyDescent="0.2">
      <c r="A33" s="150" t="s">
        <v>184</v>
      </c>
      <c r="B33" s="1">
        <v>93382</v>
      </c>
      <c r="C33" s="1" t="s">
        <v>38</v>
      </c>
      <c r="D33" s="285" t="s">
        <v>122</v>
      </c>
      <c r="E33" s="286"/>
      <c r="F33" s="286"/>
      <c r="G33" s="286"/>
      <c r="H33" s="286"/>
      <c r="I33" s="287"/>
      <c r="J33" s="1" t="s">
        <v>120</v>
      </c>
      <c r="K33" s="288">
        <f>ROUND(MEMORIA!I61,2)</f>
        <v>57.97</v>
      </c>
      <c r="L33" s="289"/>
      <c r="M33" s="290"/>
      <c r="N33" s="56">
        <v>21.21</v>
      </c>
      <c r="O33" s="291">
        <f t="shared" si="4"/>
        <v>1229.54</v>
      </c>
      <c r="P33" s="292"/>
      <c r="Q33" s="291">
        <f t="shared" si="5"/>
        <v>26.66</v>
      </c>
      <c r="R33" s="292"/>
      <c r="S33" s="291">
        <f t="shared" si="6"/>
        <v>1545.48</v>
      </c>
      <c r="T33" s="293"/>
      <c r="U33" s="294"/>
      <c r="V33" s="44">
        <f t="shared" si="0"/>
        <v>1545.4802</v>
      </c>
    </row>
    <row r="34" spans="1:22" s="220" customFormat="1" ht="30" customHeight="1" x14ac:dyDescent="0.2">
      <c r="A34" s="150" t="s">
        <v>185</v>
      </c>
      <c r="B34" s="1" t="s">
        <v>176</v>
      </c>
      <c r="C34" s="1" t="s">
        <v>172</v>
      </c>
      <c r="D34" s="285" t="s">
        <v>177</v>
      </c>
      <c r="E34" s="286"/>
      <c r="F34" s="286"/>
      <c r="G34" s="286"/>
      <c r="H34" s="286"/>
      <c r="I34" s="287"/>
      <c r="J34" s="1" t="s">
        <v>41</v>
      </c>
      <c r="K34" s="288">
        <f>ROUND(MEMORIA!I67+MEMORIA!I73,2)</f>
        <v>202.63</v>
      </c>
      <c r="L34" s="289"/>
      <c r="M34" s="290"/>
      <c r="N34" s="56">
        <f>30.61*0.9</f>
        <v>27.548999999999999</v>
      </c>
      <c r="O34" s="291">
        <f t="shared" si="4"/>
        <v>5582.25</v>
      </c>
      <c r="P34" s="292"/>
      <c r="Q34" s="291">
        <f t="shared" si="5"/>
        <v>34.630000000000003</v>
      </c>
      <c r="R34" s="292"/>
      <c r="S34" s="291">
        <f t="shared" si="6"/>
        <v>7017.08</v>
      </c>
      <c r="T34" s="293"/>
      <c r="U34" s="294"/>
      <c r="V34" s="44">
        <f t="shared" si="0"/>
        <v>7017.0769</v>
      </c>
    </row>
    <row r="35" spans="1:22" s="220" customFormat="1" ht="26.25" customHeight="1" x14ac:dyDescent="0.2">
      <c r="A35" s="150" t="s">
        <v>186</v>
      </c>
      <c r="B35" s="1">
        <v>94966</v>
      </c>
      <c r="C35" s="1" t="s">
        <v>38</v>
      </c>
      <c r="D35" s="285" t="s">
        <v>123</v>
      </c>
      <c r="E35" s="286"/>
      <c r="F35" s="286"/>
      <c r="G35" s="286"/>
      <c r="H35" s="286"/>
      <c r="I35" s="287"/>
      <c r="J35" s="1" t="s">
        <v>120</v>
      </c>
      <c r="K35" s="288">
        <f>ROUND(MEMORIA!I81,2)</f>
        <v>33.51</v>
      </c>
      <c r="L35" s="289"/>
      <c r="M35" s="290"/>
      <c r="N35" s="56">
        <v>282.06</v>
      </c>
      <c r="O35" s="291">
        <f t="shared" si="4"/>
        <v>9451.83</v>
      </c>
      <c r="P35" s="292"/>
      <c r="Q35" s="291">
        <f t="shared" si="5"/>
        <v>354.52</v>
      </c>
      <c r="R35" s="292"/>
      <c r="S35" s="291">
        <f t="shared" si="6"/>
        <v>11879.97</v>
      </c>
      <c r="T35" s="293"/>
      <c r="U35" s="294"/>
      <c r="V35" s="44">
        <f t="shared" si="0"/>
        <v>11879.965199999999</v>
      </c>
    </row>
    <row r="36" spans="1:22" x14ac:dyDescent="0.2">
      <c r="A36" s="36"/>
      <c r="B36" s="274" t="s">
        <v>40</v>
      </c>
      <c r="C36" s="275"/>
      <c r="D36" s="275"/>
      <c r="E36" s="275"/>
      <c r="F36" s="275"/>
      <c r="G36" s="275"/>
      <c r="H36" s="275"/>
      <c r="I36" s="275"/>
      <c r="J36" s="275"/>
      <c r="K36" s="275"/>
      <c r="L36" s="275"/>
      <c r="M36" s="275"/>
      <c r="N36" s="275"/>
      <c r="O36" s="275"/>
      <c r="P36" s="275"/>
      <c r="Q36" s="275"/>
      <c r="R36" s="276"/>
      <c r="S36" s="277">
        <f>SUM(S27:U35)</f>
        <v>33405.68</v>
      </c>
      <c r="T36" s="278"/>
      <c r="U36" s="279"/>
      <c r="V36" s="44">
        <f t="shared" si="0"/>
        <v>0</v>
      </c>
    </row>
    <row r="37" spans="1:22" x14ac:dyDescent="0.2">
      <c r="A37" s="37" t="s">
        <v>132</v>
      </c>
      <c r="B37" s="280"/>
      <c r="C37" s="281"/>
      <c r="D37" s="282" t="s">
        <v>252</v>
      </c>
      <c r="E37" s="283"/>
      <c r="F37" s="283"/>
      <c r="G37" s="283"/>
      <c r="H37" s="283"/>
      <c r="I37" s="283"/>
      <c r="J37" s="283"/>
      <c r="K37" s="283"/>
      <c r="L37" s="283"/>
      <c r="M37" s="283"/>
      <c r="N37" s="283"/>
      <c r="O37" s="283"/>
      <c r="P37" s="283"/>
      <c r="Q37" s="283"/>
      <c r="R37" s="283"/>
      <c r="S37" s="283"/>
      <c r="T37" s="283"/>
      <c r="U37" s="284"/>
      <c r="V37" s="44">
        <f t="shared" si="0"/>
        <v>0</v>
      </c>
    </row>
    <row r="38" spans="1:22" ht="27" customHeight="1" x14ac:dyDescent="0.2">
      <c r="A38" s="150" t="s">
        <v>42</v>
      </c>
      <c r="B38" s="238" t="str">
        <f>B34</f>
        <v>ED-49647</v>
      </c>
      <c r="C38" s="1" t="str">
        <f>C34</f>
        <v>SETOP</v>
      </c>
      <c r="D38" s="285" t="str">
        <f>D34</f>
        <v xml:space="preserve">FORMA E DESFORMA DE COMPENSADO PLASTIFICADO, ESP.
12MM, REAPROVEITAMENTO (5X), EXCLUSIVE ESCORAMENTO </v>
      </c>
      <c r="E38" s="286"/>
      <c r="F38" s="286"/>
      <c r="G38" s="286"/>
      <c r="H38" s="286"/>
      <c r="I38" s="287"/>
      <c r="J38" s="1" t="s">
        <v>41</v>
      </c>
      <c r="K38" s="288">
        <f>MEMORIA!I90</f>
        <v>134.4</v>
      </c>
      <c r="L38" s="289"/>
      <c r="M38" s="290"/>
      <c r="N38" s="56">
        <v>27.55</v>
      </c>
      <c r="O38" s="291">
        <f t="shared" ref="O38" si="7">IF(J38="","",ROUND(K38*N38,2))</f>
        <v>3702.72</v>
      </c>
      <c r="P38" s="292"/>
      <c r="Q38" s="291">
        <f t="shared" ref="Q38" si="8">IF(J38="","",ROUND(N38*(1+$T$11),2))</f>
        <v>34.630000000000003</v>
      </c>
      <c r="R38" s="292"/>
      <c r="S38" s="291">
        <f t="shared" ref="S38" si="9">IF(J38="","",ROUND(K38*Q38,2))</f>
        <v>4654.2700000000004</v>
      </c>
      <c r="T38" s="293"/>
      <c r="U38" s="294"/>
      <c r="V38" s="44">
        <f t="shared" si="0"/>
        <v>4654.2720000000008</v>
      </c>
    </row>
    <row r="39" spans="1:22" ht="27.75" customHeight="1" x14ac:dyDescent="0.2">
      <c r="A39" s="150" t="s">
        <v>117</v>
      </c>
      <c r="B39" s="17">
        <v>94965</v>
      </c>
      <c r="C39" s="1" t="s">
        <v>38</v>
      </c>
      <c r="D39" s="285" t="s">
        <v>165</v>
      </c>
      <c r="E39" s="286"/>
      <c r="F39" s="286"/>
      <c r="G39" s="286"/>
      <c r="H39" s="286"/>
      <c r="I39" s="287"/>
      <c r="J39" s="1" t="s">
        <v>120</v>
      </c>
      <c r="K39" s="288">
        <f>ROUND(MEMORIA!I98,2)</f>
        <v>5.6</v>
      </c>
      <c r="L39" s="289"/>
      <c r="M39" s="290"/>
      <c r="N39" s="56">
        <v>274.2</v>
      </c>
      <c r="O39" s="291">
        <f t="shared" ref="O39:O42" si="10">IF(J39="","",ROUND(K39*N39,2))</f>
        <v>1535.52</v>
      </c>
      <c r="P39" s="292"/>
      <c r="Q39" s="291">
        <f t="shared" ref="Q39:Q42" si="11">IF(J39="","",ROUND(N39*(1+$T$11),2))</f>
        <v>344.64</v>
      </c>
      <c r="R39" s="292"/>
      <c r="S39" s="291">
        <f t="shared" ref="S39:S42" si="12">IF(J39="","",ROUND(K39*Q39,2))</f>
        <v>1929.98</v>
      </c>
      <c r="T39" s="293"/>
      <c r="U39" s="294"/>
      <c r="V39" s="44">
        <f t="shared" si="0"/>
        <v>1929.9839999999997</v>
      </c>
    </row>
    <row r="40" spans="1:22" ht="31.5" customHeight="1" x14ac:dyDescent="0.2">
      <c r="A40" s="150" t="s">
        <v>105</v>
      </c>
      <c r="B40" s="1">
        <v>92791</v>
      </c>
      <c r="C40" s="1" t="s">
        <v>38</v>
      </c>
      <c r="D40" s="285" t="s">
        <v>124</v>
      </c>
      <c r="E40" s="286"/>
      <c r="F40" s="286"/>
      <c r="G40" s="286"/>
      <c r="H40" s="286"/>
      <c r="I40" s="287"/>
      <c r="J40" s="1" t="s">
        <v>121</v>
      </c>
      <c r="K40" s="288">
        <f>ROUND(MEMORIA!I105,2)</f>
        <v>120.74</v>
      </c>
      <c r="L40" s="289"/>
      <c r="M40" s="290"/>
      <c r="N40" s="56">
        <v>6.47</v>
      </c>
      <c r="O40" s="291">
        <f t="shared" si="10"/>
        <v>781.19</v>
      </c>
      <c r="P40" s="292"/>
      <c r="Q40" s="291">
        <f t="shared" si="11"/>
        <v>8.1300000000000008</v>
      </c>
      <c r="R40" s="292"/>
      <c r="S40" s="291">
        <f t="shared" si="12"/>
        <v>981.62</v>
      </c>
      <c r="T40" s="293"/>
      <c r="U40" s="294"/>
      <c r="V40" s="44">
        <f t="shared" si="0"/>
        <v>981.61620000000005</v>
      </c>
    </row>
    <row r="41" spans="1:22" ht="28.5" customHeight="1" x14ac:dyDescent="0.2">
      <c r="A41" s="150" t="s">
        <v>248</v>
      </c>
      <c r="B41" s="1">
        <v>92794</v>
      </c>
      <c r="C41" s="1" t="s">
        <v>38</v>
      </c>
      <c r="D41" s="285" t="s">
        <v>162</v>
      </c>
      <c r="E41" s="286"/>
      <c r="F41" s="286"/>
      <c r="G41" s="286"/>
      <c r="H41" s="286"/>
      <c r="I41" s="287"/>
      <c r="J41" s="1" t="s">
        <v>121</v>
      </c>
      <c r="K41" s="288">
        <f>ROUND(MEMORIA!I112,2)</f>
        <v>414.65</v>
      </c>
      <c r="L41" s="289"/>
      <c r="M41" s="290"/>
      <c r="N41" s="56">
        <v>5.63</v>
      </c>
      <c r="O41" s="291">
        <f t="shared" si="10"/>
        <v>2334.48</v>
      </c>
      <c r="P41" s="292"/>
      <c r="Q41" s="291">
        <f t="shared" si="11"/>
        <v>7.08</v>
      </c>
      <c r="R41" s="292"/>
      <c r="S41" s="291">
        <f t="shared" si="12"/>
        <v>2935.72</v>
      </c>
      <c r="T41" s="293"/>
      <c r="U41" s="294"/>
      <c r="V41" s="44">
        <f t="shared" si="0"/>
        <v>2935.7219999999998</v>
      </c>
    </row>
    <row r="42" spans="1:22" s="220" customFormat="1" ht="36" customHeight="1" x14ac:dyDescent="0.2">
      <c r="A42" s="150" t="s">
        <v>106</v>
      </c>
      <c r="B42" s="17" t="s">
        <v>173</v>
      </c>
      <c r="C42" s="1" t="s">
        <v>172</v>
      </c>
      <c r="D42" s="421" t="s">
        <v>174</v>
      </c>
      <c r="E42" s="422"/>
      <c r="F42" s="422"/>
      <c r="G42" s="422"/>
      <c r="H42" s="422"/>
      <c r="I42" s="423"/>
      <c r="J42" s="1" t="s">
        <v>41</v>
      </c>
      <c r="K42" s="288">
        <f>ROUND(MEMORIA!I119,2)</f>
        <v>464.19</v>
      </c>
      <c r="L42" s="289"/>
      <c r="M42" s="290"/>
      <c r="N42" s="56">
        <f>39.12*0.9</f>
        <v>35.207999999999998</v>
      </c>
      <c r="O42" s="291">
        <f t="shared" si="10"/>
        <v>16343.2</v>
      </c>
      <c r="P42" s="292"/>
      <c r="Q42" s="291">
        <f t="shared" si="11"/>
        <v>44.25</v>
      </c>
      <c r="R42" s="292"/>
      <c r="S42" s="291">
        <f t="shared" si="12"/>
        <v>20540.41</v>
      </c>
      <c r="T42" s="293"/>
      <c r="U42" s="294"/>
      <c r="V42" s="44">
        <f t="shared" si="0"/>
        <v>20540.407500000001</v>
      </c>
    </row>
    <row r="43" spans="1:22" x14ac:dyDescent="0.2">
      <c r="A43" s="36"/>
      <c r="B43" s="274" t="s">
        <v>40</v>
      </c>
      <c r="C43" s="275"/>
      <c r="D43" s="275"/>
      <c r="E43" s="275"/>
      <c r="F43" s="275"/>
      <c r="G43" s="275"/>
      <c r="H43" s="275"/>
      <c r="I43" s="275"/>
      <c r="J43" s="275"/>
      <c r="K43" s="275"/>
      <c r="L43" s="275"/>
      <c r="M43" s="275"/>
      <c r="N43" s="275"/>
      <c r="O43" s="275"/>
      <c r="P43" s="275"/>
      <c r="Q43" s="275"/>
      <c r="R43" s="276"/>
      <c r="S43" s="277">
        <f>SUM(S38:U42)</f>
        <v>31042</v>
      </c>
      <c r="T43" s="278"/>
      <c r="U43" s="279"/>
      <c r="V43" s="44">
        <f t="shared" si="0"/>
        <v>0</v>
      </c>
    </row>
    <row r="44" spans="1:22" x14ac:dyDescent="0.2">
      <c r="A44" s="37" t="s">
        <v>247</v>
      </c>
      <c r="B44" s="280"/>
      <c r="C44" s="281"/>
      <c r="D44" s="282" t="s">
        <v>257</v>
      </c>
      <c r="E44" s="283"/>
      <c r="F44" s="283"/>
      <c r="G44" s="283"/>
      <c r="H44" s="283"/>
      <c r="I44" s="283"/>
      <c r="J44" s="283"/>
      <c r="K44" s="283"/>
      <c r="L44" s="283"/>
      <c r="M44" s="283"/>
      <c r="N44" s="283"/>
      <c r="O44" s="283"/>
      <c r="P44" s="283"/>
      <c r="Q44" s="283"/>
      <c r="R44" s="283"/>
      <c r="S44" s="283"/>
      <c r="T44" s="283"/>
      <c r="U44" s="284"/>
      <c r="V44" s="44">
        <f t="shared" ref="V44:V46" si="13">Q44*K44</f>
        <v>0</v>
      </c>
    </row>
    <row r="45" spans="1:22" ht="27" customHeight="1" x14ac:dyDescent="0.2">
      <c r="A45" s="150" t="s">
        <v>249</v>
      </c>
      <c r="B45" s="17" t="s">
        <v>259</v>
      </c>
      <c r="C45" s="1" t="s">
        <v>172</v>
      </c>
      <c r="D45" s="285" t="s">
        <v>258</v>
      </c>
      <c r="E45" s="286"/>
      <c r="F45" s="286"/>
      <c r="G45" s="286"/>
      <c r="H45" s="286"/>
      <c r="I45" s="287"/>
      <c r="J45" s="1" t="s">
        <v>41</v>
      </c>
      <c r="K45" s="288">
        <f>MEMORIA!I128</f>
        <v>4.5</v>
      </c>
      <c r="L45" s="289"/>
      <c r="M45" s="290"/>
      <c r="N45" s="56">
        <v>258.27999999999997</v>
      </c>
      <c r="O45" s="291">
        <f t="shared" ref="O45" si="14">IF(J45="","",ROUND(K45*N45,2))</f>
        <v>1162.26</v>
      </c>
      <c r="P45" s="292"/>
      <c r="Q45" s="291">
        <f t="shared" ref="Q45" si="15">IF(J45="","",ROUND(N45*(1+$T$11),2))</f>
        <v>324.63</v>
      </c>
      <c r="R45" s="292"/>
      <c r="S45" s="291">
        <f t="shared" ref="S45" si="16">IF(J45="","",ROUND(K45*Q45,2))</f>
        <v>1460.84</v>
      </c>
      <c r="T45" s="293"/>
      <c r="U45" s="294"/>
      <c r="V45" s="44">
        <f t="shared" si="13"/>
        <v>1460.835</v>
      </c>
    </row>
    <row r="46" spans="1:22" x14ac:dyDescent="0.2">
      <c r="A46" s="36"/>
      <c r="B46" s="274" t="s">
        <v>40</v>
      </c>
      <c r="C46" s="275"/>
      <c r="D46" s="275"/>
      <c r="E46" s="275"/>
      <c r="F46" s="275"/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6"/>
      <c r="S46" s="277">
        <f>SUM(S45)</f>
        <v>1460.84</v>
      </c>
      <c r="T46" s="278"/>
      <c r="U46" s="279"/>
      <c r="V46" s="44">
        <f>SUM(V24:V45)</f>
        <v>67673.544800000003</v>
      </c>
    </row>
    <row r="47" spans="1:22" ht="15.75" customHeight="1" thickBot="1" x14ac:dyDescent="0.25">
      <c r="A47" s="418" t="s">
        <v>43</v>
      </c>
      <c r="B47" s="419"/>
      <c r="C47" s="419"/>
      <c r="D47" s="419"/>
      <c r="E47" s="419"/>
      <c r="F47" s="419"/>
      <c r="G47" s="419"/>
      <c r="H47" s="419"/>
      <c r="I47" s="419"/>
      <c r="J47" s="419"/>
      <c r="K47" s="419"/>
      <c r="L47" s="419"/>
      <c r="M47" s="419"/>
      <c r="N47" s="419"/>
      <c r="O47" s="419"/>
      <c r="P47" s="419"/>
      <c r="Q47" s="419"/>
      <c r="R47" s="420"/>
      <c r="S47" s="412">
        <f>S46+S43+S36+S25</f>
        <v>67673.56</v>
      </c>
      <c r="T47" s="413"/>
      <c r="U47" s="414"/>
      <c r="V47" s="167"/>
    </row>
    <row r="48" spans="1:22" ht="29.25" customHeight="1" thickBot="1" x14ac:dyDescent="0.25">
      <c r="A48" s="415" t="s">
        <v>250</v>
      </c>
      <c r="B48" s="416"/>
      <c r="C48" s="416"/>
      <c r="D48" s="416"/>
      <c r="E48" s="416"/>
      <c r="F48" s="416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7"/>
    </row>
    <row r="49" spans="1:21" ht="16.5" customHeight="1" thickBot="1" x14ac:dyDescent="0.25">
      <c r="A49" s="409" t="s">
        <v>251</v>
      </c>
      <c r="B49" s="410"/>
      <c r="C49" s="410"/>
      <c r="D49" s="410"/>
      <c r="E49" s="410"/>
      <c r="F49" s="410"/>
      <c r="G49" s="410"/>
      <c r="H49" s="410"/>
      <c r="I49" s="410"/>
      <c r="J49" s="410"/>
      <c r="K49" s="410"/>
      <c r="L49" s="410"/>
      <c r="M49" s="410"/>
      <c r="N49" s="410"/>
      <c r="O49" s="410"/>
      <c r="P49" s="410"/>
      <c r="Q49" s="410"/>
      <c r="R49" s="410"/>
      <c r="S49" s="410"/>
      <c r="T49" s="410"/>
      <c r="U49" s="411"/>
    </row>
    <row r="50" spans="1:21" ht="9.75" customHeight="1" x14ac:dyDescent="0.2">
      <c r="A50" s="249"/>
      <c r="B50" s="250"/>
      <c r="C50" s="250"/>
      <c r="D50" s="250"/>
      <c r="E50" s="250"/>
      <c r="F50" s="250"/>
      <c r="G50" s="250"/>
      <c r="H50" s="250"/>
      <c r="I50" s="250"/>
      <c r="J50" s="250"/>
      <c r="K50" s="250"/>
      <c r="L50" s="250"/>
      <c r="M50" s="250"/>
      <c r="N50" s="250"/>
      <c r="O50" s="250"/>
      <c r="P50" s="250"/>
      <c r="Q50" s="250"/>
      <c r="R50" s="250"/>
      <c r="S50" s="250"/>
      <c r="T50" s="250"/>
      <c r="U50" s="49"/>
    </row>
    <row r="51" spans="1:21" ht="9.75" customHeight="1" x14ac:dyDescent="0.2">
      <c r="A51" s="249"/>
      <c r="B51" s="250"/>
      <c r="C51" s="250"/>
      <c r="D51" s="250"/>
      <c r="E51" s="250"/>
      <c r="F51" s="250"/>
      <c r="G51" s="250"/>
      <c r="H51" s="250"/>
      <c r="I51" s="250"/>
      <c r="J51" s="250"/>
      <c r="K51" s="250"/>
      <c r="L51" s="250"/>
      <c r="M51" s="250"/>
      <c r="N51" s="250"/>
      <c r="O51" s="250"/>
      <c r="P51" s="250"/>
      <c r="Q51" s="250"/>
      <c r="R51" s="250"/>
      <c r="S51" s="250"/>
      <c r="T51" s="250"/>
      <c r="U51" s="49"/>
    </row>
    <row r="52" spans="1:21" ht="9.75" customHeight="1" x14ac:dyDescent="0.2">
      <c r="A52" s="249"/>
      <c r="B52" s="250"/>
      <c r="C52" s="250"/>
      <c r="D52" s="250"/>
      <c r="E52" s="250"/>
      <c r="F52" s="250"/>
      <c r="G52" s="250"/>
      <c r="H52" s="250"/>
      <c r="I52" s="250"/>
      <c r="J52" s="250"/>
      <c r="K52" s="250"/>
      <c r="L52" s="250"/>
      <c r="M52" s="250"/>
      <c r="N52" s="250"/>
      <c r="O52" s="250"/>
      <c r="P52" s="250"/>
      <c r="Q52" s="250"/>
      <c r="R52" s="250"/>
      <c r="S52" s="250"/>
      <c r="T52" s="250"/>
      <c r="U52" s="49"/>
    </row>
    <row r="53" spans="1:21" ht="46.5" customHeight="1" x14ac:dyDescent="0.2">
      <c r="A53" s="249"/>
      <c r="B53" s="250"/>
      <c r="C53" s="250"/>
      <c r="D53" s="250"/>
      <c r="E53" s="250"/>
      <c r="F53" s="250"/>
      <c r="G53" s="250"/>
      <c r="H53" s="250"/>
      <c r="I53" s="250"/>
      <c r="J53" s="250"/>
      <c r="K53" s="64"/>
      <c r="L53" s="64"/>
      <c r="M53" s="64"/>
      <c r="N53" s="250"/>
      <c r="O53" s="250"/>
      <c r="P53" s="250"/>
      <c r="Q53" s="250"/>
      <c r="R53" s="250"/>
      <c r="S53" s="250"/>
      <c r="T53" s="250"/>
      <c r="U53" s="49"/>
    </row>
    <row r="54" spans="1:21" ht="9.75" customHeight="1" x14ac:dyDescent="0.2">
      <c r="A54" s="249"/>
      <c r="B54" s="250"/>
      <c r="C54" s="386" t="s">
        <v>44</v>
      </c>
      <c r="D54" s="386"/>
      <c r="E54" s="386"/>
      <c r="F54" s="241"/>
      <c r="G54" s="241"/>
      <c r="H54" s="352" t="s">
        <v>104</v>
      </c>
      <c r="I54" s="352"/>
      <c r="J54" s="352"/>
      <c r="K54" s="352"/>
      <c r="L54" s="352"/>
      <c r="M54" s="352"/>
      <c r="N54" s="242"/>
      <c r="O54" s="242"/>
      <c r="P54" s="242"/>
      <c r="Q54" s="250"/>
      <c r="R54" s="250"/>
      <c r="S54" s="250"/>
      <c r="T54" s="250"/>
      <c r="U54" s="49"/>
    </row>
    <row r="55" spans="1:21" ht="9.75" customHeight="1" x14ac:dyDescent="0.2">
      <c r="A55" s="249"/>
      <c r="B55" s="250"/>
      <c r="C55" s="105" t="s">
        <v>134</v>
      </c>
      <c r="D55" s="105"/>
      <c r="E55" s="105"/>
      <c r="F55" s="2"/>
      <c r="G55" s="386" t="s">
        <v>111</v>
      </c>
      <c r="H55" s="386"/>
      <c r="I55" s="386"/>
      <c r="J55" s="386"/>
      <c r="K55" s="386"/>
      <c r="L55" s="386"/>
      <c r="M55" s="386"/>
      <c r="N55" s="386"/>
      <c r="O55" s="243"/>
      <c r="P55" s="243"/>
      <c r="Q55" s="250"/>
      <c r="R55" s="250"/>
      <c r="S55" s="250"/>
      <c r="T55" s="250"/>
      <c r="U55" s="49"/>
    </row>
    <row r="56" spans="1:21" ht="9.75" customHeight="1" x14ac:dyDescent="0.2">
      <c r="A56" s="249"/>
      <c r="B56" s="250"/>
      <c r="C56" s="239"/>
      <c r="D56" s="2"/>
      <c r="E56" s="2"/>
      <c r="F56" s="2"/>
      <c r="G56" s="240"/>
      <c r="H56" s="240"/>
      <c r="I56" s="240"/>
      <c r="J56" s="240"/>
      <c r="K56" s="240"/>
      <c r="L56" s="240"/>
      <c r="M56" s="240"/>
      <c r="N56" s="240"/>
      <c r="O56" s="243"/>
      <c r="P56" s="243"/>
      <c r="Q56" s="250"/>
      <c r="R56" s="250"/>
      <c r="S56" s="250"/>
      <c r="T56" s="250"/>
      <c r="U56" s="49"/>
    </row>
    <row r="57" spans="1:21" ht="9.75" customHeight="1" x14ac:dyDescent="0.2">
      <c r="A57" s="249"/>
      <c r="B57" s="250"/>
      <c r="C57" s="239"/>
      <c r="D57" s="2"/>
      <c r="E57" s="2"/>
      <c r="F57" s="2"/>
      <c r="G57" s="240"/>
      <c r="H57" s="240"/>
      <c r="I57" s="240"/>
      <c r="J57" s="240"/>
      <c r="K57" s="240"/>
      <c r="L57" s="240"/>
      <c r="M57" s="240"/>
      <c r="N57" s="240"/>
      <c r="O57" s="243"/>
      <c r="P57" s="243"/>
      <c r="Q57" s="250"/>
      <c r="R57" s="250"/>
      <c r="S57" s="250"/>
      <c r="T57" s="250"/>
      <c r="U57" s="49"/>
    </row>
    <row r="58" spans="1:21" ht="86.25" customHeight="1" x14ac:dyDescent="0.2">
      <c r="A58" s="249"/>
      <c r="B58" s="250"/>
      <c r="C58" s="250"/>
      <c r="D58" s="250"/>
      <c r="E58" s="250"/>
      <c r="F58" s="250"/>
      <c r="G58" s="250"/>
      <c r="H58" s="250"/>
      <c r="I58" s="250"/>
      <c r="J58" s="250"/>
      <c r="K58" s="64"/>
      <c r="L58" s="64"/>
      <c r="M58" s="64"/>
      <c r="N58" s="250"/>
      <c r="O58" s="250"/>
      <c r="P58" s="250"/>
      <c r="Q58" s="250"/>
      <c r="R58" s="250"/>
      <c r="S58" s="250"/>
      <c r="T58" s="250"/>
      <c r="U58" s="49"/>
    </row>
    <row r="59" spans="1:21" ht="9.75" customHeight="1" x14ac:dyDescent="0.2">
      <c r="A59" s="38"/>
      <c r="B59" s="2"/>
      <c r="C59" s="337"/>
      <c r="D59" s="337"/>
      <c r="E59" s="2"/>
      <c r="F59" s="241"/>
      <c r="G59" s="241"/>
      <c r="H59" s="352" t="s">
        <v>195</v>
      </c>
      <c r="I59" s="352"/>
      <c r="J59" s="352"/>
      <c r="K59" s="352"/>
      <c r="L59" s="352"/>
      <c r="M59" s="352"/>
      <c r="N59" s="242"/>
      <c r="O59" s="242"/>
      <c r="P59" s="242"/>
      <c r="Q59" s="243"/>
      <c r="R59" s="243"/>
      <c r="S59" s="243"/>
      <c r="T59" s="243"/>
      <c r="U59" s="244"/>
    </row>
    <row r="60" spans="1:21" ht="9.75" customHeight="1" thickBot="1" x14ac:dyDescent="0.25">
      <c r="A60" s="39"/>
      <c r="B60" s="40"/>
      <c r="C60" s="48"/>
      <c r="D60" s="40"/>
      <c r="E60" s="40"/>
      <c r="F60" s="40"/>
      <c r="G60" s="408"/>
      <c r="H60" s="408"/>
      <c r="I60" s="408"/>
      <c r="J60" s="408"/>
      <c r="K60" s="408"/>
      <c r="L60" s="408"/>
      <c r="M60" s="408"/>
      <c r="N60" s="408"/>
      <c r="O60" s="41"/>
      <c r="P60" s="41"/>
      <c r="Q60" s="41"/>
      <c r="R60" s="41"/>
      <c r="S60" s="41"/>
      <c r="T60" s="41"/>
      <c r="U60" s="42"/>
    </row>
    <row r="61" spans="1:21" ht="9.75" customHeight="1" x14ac:dyDescent="0.2"/>
    <row r="62" spans="1:21" ht="9.75" customHeight="1" x14ac:dyDescent="0.2"/>
    <row r="63" spans="1:21" ht="9.75" customHeight="1" x14ac:dyDescent="0.2"/>
    <row r="64" spans="1:21" ht="9.75" customHeight="1" x14ac:dyDescent="0.2"/>
    <row r="65" ht="9.75" customHeight="1" x14ac:dyDescent="0.2"/>
    <row r="66" ht="9.75" customHeight="1" x14ac:dyDescent="0.2"/>
    <row r="67" ht="9.75" customHeight="1" x14ac:dyDescent="0.2"/>
    <row r="68" ht="9.75" customHeight="1" x14ac:dyDescent="0.2"/>
    <row r="69" ht="9.75" customHeight="1" x14ac:dyDescent="0.2"/>
    <row r="70" ht="9.75" customHeight="1" x14ac:dyDescent="0.2"/>
    <row r="71" ht="9.75" customHeight="1" x14ac:dyDescent="0.2"/>
    <row r="72" ht="9.75" customHeight="1" x14ac:dyDescent="0.2"/>
    <row r="73" ht="9.75" customHeight="1" x14ac:dyDescent="0.2"/>
    <row r="74" ht="9.75" customHeight="1" x14ac:dyDescent="0.2"/>
    <row r="75" ht="9.75" customHeight="1" x14ac:dyDescent="0.2"/>
    <row r="76" ht="9.75" customHeight="1" x14ac:dyDescent="0.2"/>
    <row r="77" ht="9.75" customHeight="1" x14ac:dyDescent="0.2"/>
    <row r="78" ht="9.75" customHeight="1" x14ac:dyDescent="0.2"/>
    <row r="79" ht="9.75" customHeight="1" x14ac:dyDescent="0.2"/>
    <row r="80" ht="9.75" customHeight="1" x14ac:dyDescent="0.2"/>
    <row r="81" ht="9.75" customHeight="1" x14ac:dyDescent="0.2"/>
    <row r="82" ht="9.75" customHeight="1" x14ac:dyDescent="0.2"/>
    <row r="83" ht="9.75" customHeight="1" x14ac:dyDescent="0.2"/>
    <row r="84" ht="9.75" customHeight="1" x14ac:dyDescent="0.2"/>
    <row r="85" ht="9.75" customHeight="1" x14ac:dyDescent="0.2"/>
    <row r="86" ht="9.75" customHeight="1" x14ac:dyDescent="0.2"/>
    <row r="87" ht="9.75" customHeight="1" x14ac:dyDescent="0.2"/>
    <row r="88" ht="9.75" customHeight="1" x14ac:dyDescent="0.2"/>
    <row r="89" ht="9.75" customHeight="1" x14ac:dyDescent="0.2"/>
    <row r="90" ht="9.75" customHeight="1" x14ac:dyDescent="0.2"/>
    <row r="91" ht="9.75" customHeight="1" x14ac:dyDescent="0.2"/>
    <row r="92" ht="9.75" customHeight="1" x14ac:dyDescent="0.2"/>
    <row r="93" ht="9.75" customHeight="1" x14ac:dyDescent="0.2"/>
    <row r="94" ht="9.75" customHeight="1" x14ac:dyDescent="0.2"/>
    <row r="95" ht="9.75" customHeight="1" x14ac:dyDescent="0.2"/>
    <row r="96" ht="9.75" customHeight="1" x14ac:dyDescent="0.2"/>
    <row r="97" ht="9.75" customHeight="1" x14ac:dyDescent="0.2"/>
    <row r="98" ht="9.75" customHeight="1" x14ac:dyDescent="0.2"/>
    <row r="99" ht="9.75" customHeight="1" x14ac:dyDescent="0.2"/>
    <row r="100" ht="9.75" customHeight="1" x14ac:dyDescent="0.2"/>
    <row r="101" ht="9.75" customHeight="1" x14ac:dyDescent="0.2"/>
    <row r="102" ht="9.75" customHeight="1" x14ac:dyDescent="0.2"/>
    <row r="103" ht="9.75" customHeight="1" x14ac:dyDescent="0.2"/>
    <row r="104" ht="9.75" customHeight="1" x14ac:dyDescent="0.2"/>
    <row r="105" ht="9.75" customHeight="1" x14ac:dyDescent="0.2"/>
    <row r="106" ht="9.75" customHeight="1" x14ac:dyDescent="0.2"/>
    <row r="107" ht="9.75" customHeight="1" x14ac:dyDescent="0.2"/>
    <row r="108" ht="9.75" customHeight="1" x14ac:dyDescent="0.2"/>
    <row r="109" ht="9.75" customHeight="1" x14ac:dyDescent="0.2"/>
  </sheetData>
  <mergeCells count="163">
    <mergeCell ref="S43:U43"/>
    <mergeCell ref="D42:I42"/>
    <mergeCell ref="B43:R43"/>
    <mergeCell ref="G60:N60"/>
    <mergeCell ref="A49:U49"/>
    <mergeCell ref="H59:M59"/>
    <mergeCell ref="C59:D59"/>
    <mergeCell ref="S47:U47"/>
    <mergeCell ref="A48:U48"/>
    <mergeCell ref="G55:N55"/>
    <mergeCell ref="A47:R47"/>
    <mergeCell ref="H54:M54"/>
    <mergeCell ref="C54:E54"/>
    <mergeCell ref="A7:U7"/>
    <mergeCell ref="A8:L8"/>
    <mergeCell ref="M8:Q8"/>
    <mergeCell ref="R8:U8"/>
    <mergeCell ref="A9:L9"/>
    <mergeCell ref="M9:Q9"/>
    <mergeCell ref="R9:U9"/>
    <mergeCell ref="A12:D12"/>
    <mergeCell ref="I12:K12"/>
    <mergeCell ref="L12:M12"/>
    <mergeCell ref="N12:U17"/>
    <mergeCell ref="A13:D13"/>
    <mergeCell ref="I13:K13"/>
    <mergeCell ref="L13:M13"/>
    <mergeCell ref="A14:D14"/>
    <mergeCell ref="I14:K14"/>
    <mergeCell ref="I17:K17"/>
    <mergeCell ref="L17:M17"/>
    <mergeCell ref="A11:D11"/>
    <mergeCell ref="M10:U10"/>
    <mergeCell ref="A10:L10"/>
    <mergeCell ref="Q21:R21"/>
    <mergeCell ref="S21:U21"/>
    <mergeCell ref="Q24:R24"/>
    <mergeCell ref="S24:U24"/>
    <mergeCell ref="D24:I24"/>
    <mergeCell ref="E11:H11"/>
    <mergeCell ref="I11:M11"/>
    <mergeCell ref="N11:S11"/>
    <mergeCell ref="T11:U11"/>
    <mergeCell ref="L14:M14"/>
    <mergeCell ref="A15:D15"/>
    <mergeCell ref="I15:K15"/>
    <mergeCell ref="L15:M15"/>
    <mergeCell ref="A16:D16"/>
    <mergeCell ref="I16:K16"/>
    <mergeCell ref="L16:M16"/>
    <mergeCell ref="A18:U18"/>
    <mergeCell ref="A19:A21"/>
    <mergeCell ref="A17:D17"/>
    <mergeCell ref="B19:B21"/>
    <mergeCell ref="C19:C21"/>
    <mergeCell ref="A1:U1"/>
    <mergeCell ref="A2:U2"/>
    <mergeCell ref="A3:O3"/>
    <mergeCell ref="P3:U3"/>
    <mergeCell ref="A4:O4"/>
    <mergeCell ref="P4:U4"/>
    <mergeCell ref="A5:L5"/>
    <mergeCell ref="M5:T5"/>
    <mergeCell ref="A6:L6"/>
    <mergeCell ref="M6:T6"/>
    <mergeCell ref="O35:P35"/>
    <mergeCell ref="K41:M41"/>
    <mergeCell ref="D33:I33"/>
    <mergeCell ref="K33:M33"/>
    <mergeCell ref="O27:P27"/>
    <mergeCell ref="Q27:R27"/>
    <mergeCell ref="Q42:R42"/>
    <mergeCell ref="S40:U40"/>
    <mergeCell ref="S35:U35"/>
    <mergeCell ref="D27:I27"/>
    <mergeCell ref="O32:P32"/>
    <mergeCell ref="Q31:R31"/>
    <mergeCell ref="S31:U31"/>
    <mergeCell ref="D31:I31"/>
    <mergeCell ref="K31:M31"/>
    <mergeCell ref="D30:I30"/>
    <mergeCell ref="K30:M30"/>
    <mergeCell ref="S27:U27"/>
    <mergeCell ref="D28:I28"/>
    <mergeCell ref="K28:M28"/>
    <mergeCell ref="K39:M39"/>
    <mergeCell ref="O39:P39"/>
    <mergeCell ref="Q39:R39"/>
    <mergeCell ref="S39:U39"/>
    <mergeCell ref="K27:M27"/>
    <mergeCell ref="O30:P30"/>
    <mergeCell ref="Q30:R30"/>
    <mergeCell ref="D29:I29"/>
    <mergeCell ref="K29:M29"/>
    <mergeCell ref="O29:P29"/>
    <mergeCell ref="Q29:R29"/>
    <mergeCell ref="S29:U29"/>
    <mergeCell ref="D19:I21"/>
    <mergeCell ref="J19:J21"/>
    <mergeCell ref="K19:M21"/>
    <mergeCell ref="N19:U19"/>
    <mergeCell ref="A22:U22"/>
    <mergeCell ref="O24:P24"/>
    <mergeCell ref="B25:R25"/>
    <mergeCell ref="S25:U25"/>
    <mergeCell ref="K24:M24"/>
    <mergeCell ref="B23:C23"/>
    <mergeCell ref="D23:U23"/>
    <mergeCell ref="B26:C26"/>
    <mergeCell ref="D26:U26"/>
    <mergeCell ref="N20:P20"/>
    <mergeCell ref="Q20:U20"/>
    <mergeCell ref="O21:P21"/>
    <mergeCell ref="B37:C37"/>
    <mergeCell ref="D37:U37"/>
    <mergeCell ref="D32:I32"/>
    <mergeCell ref="K32:M32"/>
    <mergeCell ref="Q32:R32"/>
    <mergeCell ref="O28:P28"/>
    <mergeCell ref="Q28:R28"/>
    <mergeCell ref="S28:U28"/>
    <mergeCell ref="Q34:R34"/>
    <mergeCell ref="S34:U34"/>
    <mergeCell ref="B36:R36"/>
    <mergeCell ref="S36:U36"/>
    <mergeCell ref="S32:U32"/>
    <mergeCell ref="S30:U30"/>
    <mergeCell ref="O31:P31"/>
    <mergeCell ref="Q35:R35"/>
    <mergeCell ref="O33:P33"/>
    <mergeCell ref="Q33:R33"/>
    <mergeCell ref="S33:U33"/>
    <mergeCell ref="D34:I34"/>
    <mergeCell ref="K34:M34"/>
    <mergeCell ref="O34:P34"/>
    <mergeCell ref="D35:I35"/>
    <mergeCell ref="K35:M35"/>
    <mergeCell ref="D38:I38"/>
    <mergeCell ref="K38:M38"/>
    <mergeCell ref="O38:P38"/>
    <mergeCell ref="Q38:R38"/>
    <mergeCell ref="S38:U38"/>
    <mergeCell ref="O42:P42"/>
    <mergeCell ref="D40:I40"/>
    <mergeCell ref="D39:I39"/>
    <mergeCell ref="K40:M40"/>
    <mergeCell ref="K42:M42"/>
    <mergeCell ref="O40:P40"/>
    <mergeCell ref="S42:U42"/>
    <mergeCell ref="O41:P41"/>
    <mergeCell ref="Q41:R41"/>
    <mergeCell ref="S41:U41"/>
    <mergeCell ref="Q40:R40"/>
    <mergeCell ref="D41:I41"/>
    <mergeCell ref="B46:R46"/>
    <mergeCell ref="S46:U46"/>
    <mergeCell ref="B44:C44"/>
    <mergeCell ref="D44:U44"/>
    <mergeCell ref="D45:I45"/>
    <mergeCell ref="K45:M45"/>
    <mergeCell ref="O45:P45"/>
    <mergeCell ref="Q45:R45"/>
    <mergeCell ref="S45:U45"/>
  </mergeCells>
  <phoneticPr fontId="17" type="noConversion"/>
  <pageMargins left="0.25" right="0.25" top="0.75" bottom="0.75" header="0.3" footer="0.3"/>
  <pageSetup paperSize="9" scale="57" fitToHeight="0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0"/>
  <sheetViews>
    <sheetView view="pageBreakPreview" topLeftCell="A7" zoomScaleNormal="100" zoomScaleSheetLayoutView="100" workbookViewId="0">
      <selection activeCell="C32" sqref="C32"/>
    </sheetView>
  </sheetViews>
  <sheetFormatPr defaultRowHeight="12.75" x14ac:dyDescent="0.2"/>
  <cols>
    <col min="2" max="2" width="43.1640625" customWidth="1"/>
    <col min="3" max="3" width="16.83203125" customWidth="1"/>
    <col min="4" max="4" width="13.33203125" customWidth="1"/>
    <col min="5" max="5" width="13" customWidth="1"/>
    <col min="6" max="6" width="14.6640625" customWidth="1"/>
  </cols>
  <sheetData>
    <row r="1" spans="1:6" ht="18" x14ac:dyDescent="0.2">
      <c r="A1" s="427" t="s">
        <v>198</v>
      </c>
      <c r="B1" s="428"/>
      <c r="C1" s="428"/>
      <c r="D1" s="428"/>
      <c r="E1" s="168"/>
      <c r="F1" s="169"/>
    </row>
    <row r="2" spans="1:6" x14ac:dyDescent="0.2">
      <c r="A2" s="170"/>
      <c r="B2" s="210"/>
      <c r="C2" s="211"/>
      <c r="D2" s="211"/>
      <c r="E2" s="211"/>
      <c r="F2" s="171" t="s">
        <v>199</v>
      </c>
    </row>
    <row r="3" spans="1:6" ht="13.5" thickBot="1" x14ac:dyDescent="0.25">
      <c r="A3" s="172"/>
      <c r="B3" s="211"/>
      <c r="C3" s="211"/>
      <c r="D3" s="211"/>
      <c r="E3" s="211"/>
      <c r="F3" s="171"/>
    </row>
    <row r="4" spans="1:6" x14ac:dyDescent="0.2">
      <c r="A4" s="429" t="s">
        <v>73</v>
      </c>
      <c r="B4" s="431" t="s">
        <v>200</v>
      </c>
      <c r="C4" s="173" t="s">
        <v>80</v>
      </c>
      <c r="D4" s="174" t="s">
        <v>80</v>
      </c>
      <c r="E4" s="175"/>
      <c r="F4" s="176"/>
    </row>
    <row r="5" spans="1:6" ht="13.5" thickBot="1" x14ac:dyDescent="0.25">
      <c r="A5" s="430"/>
      <c r="B5" s="432"/>
      <c r="C5" s="177" t="s">
        <v>201</v>
      </c>
      <c r="D5" s="178" t="s">
        <v>202</v>
      </c>
      <c r="E5" s="175"/>
      <c r="F5" s="176"/>
    </row>
    <row r="6" spans="1:6" x14ac:dyDescent="0.2">
      <c r="A6" s="179"/>
      <c r="B6" s="180"/>
      <c r="C6" s="181"/>
      <c r="D6" s="182"/>
      <c r="E6" s="175"/>
      <c r="F6" s="176"/>
    </row>
    <row r="7" spans="1:6" x14ac:dyDescent="0.2">
      <c r="A7" s="179">
        <v>1</v>
      </c>
      <c r="B7" s="183" t="s">
        <v>203</v>
      </c>
      <c r="C7" s="184" t="s">
        <v>199</v>
      </c>
      <c r="D7" s="214">
        <v>4.01</v>
      </c>
      <c r="E7" s="185"/>
      <c r="F7" s="186"/>
    </row>
    <row r="8" spans="1:6" x14ac:dyDescent="0.2">
      <c r="A8" s="187" t="s">
        <v>37</v>
      </c>
      <c r="B8" s="188" t="s">
        <v>204</v>
      </c>
      <c r="C8" s="189" t="s">
        <v>199</v>
      </c>
      <c r="D8" s="190" t="s">
        <v>199</v>
      </c>
      <c r="E8" s="191"/>
      <c r="F8" s="171"/>
    </row>
    <row r="9" spans="1:6" x14ac:dyDescent="0.2">
      <c r="A9" s="187" t="s">
        <v>205</v>
      </c>
      <c r="B9" s="188" t="s">
        <v>206</v>
      </c>
      <c r="C9" s="189" t="s">
        <v>199</v>
      </c>
      <c r="D9" s="190" t="s">
        <v>199</v>
      </c>
      <c r="E9" s="191"/>
      <c r="F9" s="171"/>
    </row>
    <row r="10" spans="1:6" x14ac:dyDescent="0.2">
      <c r="A10" s="187" t="s">
        <v>207</v>
      </c>
      <c r="B10" s="188" t="s">
        <v>208</v>
      </c>
      <c r="C10" s="189" t="s">
        <v>199</v>
      </c>
      <c r="D10" s="190" t="s">
        <v>199</v>
      </c>
      <c r="E10" s="191"/>
      <c r="F10" s="171"/>
    </row>
    <row r="11" spans="1:6" x14ac:dyDescent="0.2">
      <c r="A11" s="192" t="s">
        <v>199</v>
      </c>
      <c r="B11" s="188" t="s">
        <v>199</v>
      </c>
      <c r="C11" s="189" t="s">
        <v>199</v>
      </c>
      <c r="D11" s="190" t="s">
        <v>199</v>
      </c>
      <c r="E11" s="191"/>
      <c r="F11" s="171"/>
    </row>
    <row r="12" spans="1:6" x14ac:dyDescent="0.2">
      <c r="A12" s="179">
        <v>2</v>
      </c>
      <c r="B12" s="183" t="s">
        <v>209</v>
      </c>
      <c r="C12" s="193">
        <f>SUM(C13:C16)</f>
        <v>10.15</v>
      </c>
      <c r="D12" s="194">
        <f>SUM(D13:D16)</f>
        <v>12.690000000000001</v>
      </c>
      <c r="E12" s="191"/>
      <c r="F12" s="186"/>
    </row>
    <row r="13" spans="1:6" x14ac:dyDescent="0.2">
      <c r="A13" s="187" t="s">
        <v>103</v>
      </c>
      <c r="B13" s="195" t="s">
        <v>210</v>
      </c>
      <c r="C13" s="215">
        <v>2</v>
      </c>
      <c r="D13" s="190">
        <f>ROUND(C13*1.2515,2)</f>
        <v>2.5</v>
      </c>
      <c r="E13" s="191"/>
      <c r="F13" s="171"/>
    </row>
    <row r="14" spans="1:6" x14ac:dyDescent="0.2">
      <c r="A14" s="187" t="s">
        <v>192</v>
      </c>
      <c r="B14" s="188" t="s">
        <v>211</v>
      </c>
      <c r="C14" s="196">
        <v>0.65</v>
      </c>
      <c r="D14" s="190">
        <f>ROUND(C14*1.2515,2)</f>
        <v>0.81</v>
      </c>
      <c r="E14" s="191"/>
      <c r="F14" s="171"/>
    </row>
    <row r="15" spans="1:6" x14ac:dyDescent="0.2">
      <c r="A15" s="187" t="s">
        <v>191</v>
      </c>
      <c r="B15" s="188" t="s">
        <v>212</v>
      </c>
      <c r="C15" s="196">
        <v>3</v>
      </c>
      <c r="D15" s="190">
        <f>ROUND(C15*1.2515,2)</f>
        <v>3.75</v>
      </c>
      <c r="E15" s="191"/>
      <c r="F15" s="197"/>
    </row>
    <row r="16" spans="1:6" ht="25.5" x14ac:dyDescent="0.2">
      <c r="A16" s="187" t="s">
        <v>190</v>
      </c>
      <c r="B16" s="198" t="s">
        <v>213</v>
      </c>
      <c r="C16" s="196">
        <v>4.5</v>
      </c>
      <c r="D16" s="190">
        <f>ROUND(C16*1.2515,2)</f>
        <v>5.63</v>
      </c>
      <c r="E16" s="191"/>
      <c r="F16" s="197"/>
    </row>
    <row r="17" spans="1:6" x14ac:dyDescent="0.2">
      <c r="A17" s="192"/>
      <c r="B17" s="188"/>
      <c r="C17" s="189"/>
      <c r="D17" s="190"/>
      <c r="E17" s="191"/>
      <c r="F17" s="186"/>
    </row>
    <row r="18" spans="1:6" x14ac:dyDescent="0.2">
      <c r="A18" s="179">
        <v>3</v>
      </c>
      <c r="B18" s="183" t="s">
        <v>214</v>
      </c>
      <c r="C18" s="189" t="s">
        <v>199</v>
      </c>
      <c r="D18" s="194">
        <f>SUM(D19:D21)</f>
        <v>0.82000000000000006</v>
      </c>
      <c r="E18" s="191"/>
      <c r="F18" s="186"/>
    </row>
    <row r="19" spans="1:6" x14ac:dyDescent="0.2">
      <c r="A19" s="187" t="s">
        <v>42</v>
      </c>
      <c r="B19" s="199" t="s">
        <v>215</v>
      </c>
      <c r="C19" s="189"/>
      <c r="D19" s="218">
        <v>0.16</v>
      </c>
      <c r="E19" s="191"/>
      <c r="F19" s="186"/>
    </row>
    <row r="20" spans="1:6" x14ac:dyDescent="0.2">
      <c r="A20" s="187" t="s">
        <v>117</v>
      </c>
      <c r="B20" s="188" t="s">
        <v>216</v>
      </c>
      <c r="C20" s="189"/>
      <c r="D20" s="218">
        <v>0.5</v>
      </c>
      <c r="E20" s="191"/>
      <c r="F20" s="186"/>
    </row>
    <row r="21" spans="1:6" x14ac:dyDescent="0.2">
      <c r="A21" s="187" t="s">
        <v>105</v>
      </c>
      <c r="B21" s="199" t="s">
        <v>217</v>
      </c>
      <c r="C21" s="189"/>
      <c r="D21" s="218">
        <v>0.16</v>
      </c>
      <c r="E21" s="191"/>
      <c r="F21" s="186"/>
    </row>
    <row r="22" spans="1:6" x14ac:dyDescent="0.2">
      <c r="A22" s="192"/>
      <c r="B22" s="188"/>
      <c r="C22" s="189"/>
      <c r="D22" s="190"/>
      <c r="E22" s="191"/>
      <c r="F22" s="186"/>
    </row>
    <row r="23" spans="1:6" x14ac:dyDescent="0.2">
      <c r="A23" s="179">
        <v>4</v>
      </c>
      <c r="B23" s="183" t="s">
        <v>218</v>
      </c>
      <c r="C23" s="189" t="s">
        <v>199</v>
      </c>
      <c r="D23" s="216">
        <v>1.02</v>
      </c>
      <c r="E23" s="191"/>
      <c r="F23" s="186"/>
    </row>
    <row r="24" spans="1:6" x14ac:dyDescent="0.2">
      <c r="A24" s="192"/>
      <c r="B24" s="188"/>
      <c r="C24" s="189"/>
      <c r="D24" s="190"/>
      <c r="E24" s="191"/>
      <c r="F24" s="186"/>
    </row>
    <row r="25" spans="1:6" x14ac:dyDescent="0.2">
      <c r="A25" s="179">
        <v>5</v>
      </c>
      <c r="B25" s="183" t="s">
        <v>219</v>
      </c>
      <c r="C25" s="212"/>
      <c r="D25" s="216">
        <v>6.64</v>
      </c>
      <c r="E25" s="191"/>
      <c r="F25" s="186"/>
    </row>
    <row r="26" spans="1:6" ht="13.5" thickBot="1" x14ac:dyDescent="0.25">
      <c r="A26" s="192"/>
      <c r="B26" s="188"/>
      <c r="C26" s="200"/>
      <c r="D26" s="201"/>
      <c r="E26" s="191"/>
      <c r="F26" s="171"/>
    </row>
    <row r="27" spans="1:6" ht="13.5" thickBot="1" x14ac:dyDescent="0.25">
      <c r="A27" s="202" t="s">
        <v>199</v>
      </c>
      <c r="B27" s="203" t="s">
        <v>220</v>
      </c>
      <c r="C27" s="204" t="s">
        <v>199</v>
      </c>
      <c r="D27" s="205">
        <f>ROUND((((1+(D7+D18)/100)*(1+D23/100)*(1+D25/100)/(1-C12/100)-1)*100),2)</f>
        <v>25.69</v>
      </c>
      <c r="E27" s="191"/>
      <c r="F27" s="186"/>
    </row>
    <row r="28" spans="1:6" x14ac:dyDescent="0.2">
      <c r="A28" s="172"/>
      <c r="B28" s="211"/>
      <c r="C28" s="211"/>
      <c r="D28" s="211"/>
      <c r="E28" s="211"/>
      <c r="F28" s="171"/>
    </row>
    <row r="29" spans="1:6" x14ac:dyDescent="0.2">
      <c r="A29" s="172"/>
      <c r="B29" s="211"/>
      <c r="C29" s="211"/>
      <c r="D29" s="211"/>
      <c r="E29" s="211"/>
      <c r="F29" s="171" t="s">
        <v>199</v>
      </c>
    </row>
    <row r="30" spans="1:6" ht="18" x14ac:dyDescent="0.2">
      <c r="A30" s="206" t="s">
        <v>221</v>
      </c>
      <c r="B30" s="213"/>
      <c r="C30" s="213"/>
      <c r="D30" s="213"/>
      <c r="E30" s="213"/>
      <c r="F30" s="171"/>
    </row>
    <row r="31" spans="1:6" ht="18" x14ac:dyDescent="0.2">
      <c r="A31" s="206"/>
      <c r="B31" s="213"/>
      <c r="C31" s="213"/>
      <c r="D31" s="213"/>
      <c r="E31" s="213"/>
      <c r="F31" s="171"/>
    </row>
    <row r="32" spans="1:6" ht="18" x14ac:dyDescent="0.2">
      <c r="A32" s="433" t="s">
        <v>222</v>
      </c>
      <c r="B32" s="434"/>
      <c r="C32" s="217">
        <f>ROUND((((1+((D7+D18)/100))*(1+D23/100)*(1+D25/100))/(1-C12/100)-1)*100,2)</f>
        <v>25.69</v>
      </c>
      <c r="D32" s="211"/>
      <c r="E32" s="211"/>
      <c r="F32" s="171"/>
    </row>
    <row r="33" spans="1:6" x14ac:dyDescent="0.2">
      <c r="A33" s="435" t="s">
        <v>199</v>
      </c>
      <c r="B33" s="436"/>
      <c r="C33" s="211"/>
      <c r="D33" s="211"/>
      <c r="E33" s="211"/>
      <c r="F33" s="171"/>
    </row>
    <row r="34" spans="1:6" x14ac:dyDescent="0.2">
      <c r="A34" s="424" t="s">
        <v>223</v>
      </c>
      <c r="B34" s="425"/>
      <c r="C34" s="425"/>
      <c r="D34" s="425"/>
      <c r="E34" s="425"/>
      <c r="F34" s="426"/>
    </row>
    <row r="35" spans="1:6" x14ac:dyDescent="0.2">
      <c r="A35" s="172"/>
      <c r="B35" s="211"/>
      <c r="C35" s="211"/>
      <c r="D35" s="211"/>
      <c r="E35" s="211"/>
      <c r="F35" s="171"/>
    </row>
    <row r="36" spans="1:6" ht="41.25" customHeight="1" x14ac:dyDescent="0.2">
      <c r="A36" s="438" t="s">
        <v>224</v>
      </c>
      <c r="B36" s="439"/>
      <c r="C36" s="439"/>
      <c r="D36" s="439"/>
      <c r="E36" s="439"/>
      <c r="F36" s="440"/>
    </row>
    <row r="37" spans="1:6" x14ac:dyDescent="0.2">
      <c r="A37" s="172"/>
      <c r="B37" s="211"/>
      <c r="C37" s="211"/>
      <c r="D37" s="211"/>
      <c r="E37" s="211"/>
      <c r="F37" s="171"/>
    </row>
    <row r="38" spans="1:6" x14ac:dyDescent="0.2">
      <c r="A38" s="172"/>
      <c r="B38" s="211"/>
      <c r="C38" s="211"/>
      <c r="D38" s="211"/>
      <c r="E38" s="211"/>
      <c r="F38" s="171"/>
    </row>
    <row r="39" spans="1:6" x14ac:dyDescent="0.2">
      <c r="A39" s="172"/>
      <c r="B39" s="211"/>
      <c r="C39" s="211"/>
      <c r="D39" s="211"/>
      <c r="E39" s="211"/>
      <c r="F39" s="171"/>
    </row>
    <row r="40" spans="1:6" x14ac:dyDescent="0.2">
      <c r="A40" s="172"/>
      <c r="B40" s="441"/>
      <c r="C40" s="441"/>
      <c r="D40" s="441"/>
      <c r="E40" s="441"/>
      <c r="F40" s="171"/>
    </row>
    <row r="41" spans="1:6" x14ac:dyDescent="0.2">
      <c r="A41" s="172"/>
      <c r="B41" s="437" t="s">
        <v>104</v>
      </c>
      <c r="C41" s="437"/>
      <c r="D41" s="437"/>
      <c r="E41" s="437"/>
      <c r="F41" s="171"/>
    </row>
    <row r="42" spans="1:6" x14ac:dyDescent="0.2">
      <c r="A42" s="172"/>
      <c r="B42" s="437" t="s">
        <v>225</v>
      </c>
      <c r="C42" s="437"/>
      <c r="D42" s="437"/>
      <c r="E42" s="437"/>
      <c r="F42" s="171"/>
    </row>
    <row r="43" spans="1:6" x14ac:dyDescent="0.2">
      <c r="A43" s="172"/>
      <c r="B43" s="211"/>
      <c r="C43" s="211"/>
      <c r="D43" s="211"/>
      <c r="E43" s="211"/>
      <c r="F43" s="171"/>
    </row>
    <row r="44" spans="1:6" x14ac:dyDescent="0.2">
      <c r="A44" s="172"/>
      <c r="B44" s="211"/>
      <c r="C44" s="211"/>
      <c r="D44" s="211"/>
      <c r="E44" s="211"/>
      <c r="F44" s="171"/>
    </row>
    <row r="45" spans="1:6" x14ac:dyDescent="0.2">
      <c r="A45" s="172"/>
      <c r="B45" s="211"/>
      <c r="C45" s="211"/>
      <c r="D45" s="211"/>
      <c r="E45" s="211"/>
      <c r="F45" s="171"/>
    </row>
    <row r="46" spans="1:6" x14ac:dyDescent="0.2">
      <c r="A46" s="172"/>
      <c r="B46" s="441"/>
      <c r="C46" s="441"/>
      <c r="D46" s="441"/>
      <c r="E46" s="441"/>
      <c r="F46" s="171"/>
    </row>
    <row r="47" spans="1:6" x14ac:dyDescent="0.2">
      <c r="A47" s="172"/>
      <c r="B47" s="437" t="s">
        <v>226</v>
      </c>
      <c r="C47" s="437"/>
      <c r="D47" s="437"/>
      <c r="E47" s="437"/>
      <c r="F47" s="171"/>
    </row>
    <row r="48" spans="1:6" x14ac:dyDescent="0.2">
      <c r="A48" s="172"/>
      <c r="B48" s="437" t="s">
        <v>227</v>
      </c>
      <c r="C48" s="437"/>
      <c r="D48" s="437"/>
      <c r="E48" s="437"/>
      <c r="F48" s="171"/>
    </row>
    <row r="49" spans="1:6" x14ac:dyDescent="0.2">
      <c r="A49" s="172"/>
      <c r="B49" s="211"/>
      <c r="C49" s="211"/>
      <c r="D49" s="211"/>
      <c r="E49" s="211"/>
      <c r="F49" s="171"/>
    </row>
    <row r="50" spans="1:6" ht="13.5" thickBot="1" x14ac:dyDescent="0.25">
      <c r="A50" s="207"/>
      <c r="B50" s="208"/>
      <c r="C50" s="208"/>
      <c r="D50" s="208"/>
      <c r="E50" s="208"/>
      <c r="F50" s="209"/>
    </row>
  </sheetData>
  <mergeCells count="13">
    <mergeCell ref="B47:E47"/>
    <mergeCell ref="B48:E48"/>
    <mergeCell ref="A36:F36"/>
    <mergeCell ref="B40:E40"/>
    <mergeCell ref="B41:E41"/>
    <mergeCell ref="B42:E42"/>
    <mergeCell ref="B46:E46"/>
    <mergeCell ref="A34:F34"/>
    <mergeCell ref="A1:D1"/>
    <mergeCell ref="A4:A5"/>
    <mergeCell ref="B4:B5"/>
    <mergeCell ref="A32:B32"/>
    <mergeCell ref="A33:B33"/>
  </mergeCells>
  <pageMargins left="0.511811024" right="0.511811024" top="0.78740157499999996" bottom="0.78740157499999996" header="0.31496062000000002" footer="0.31496062000000002"/>
  <pageSetup paperSize="9" scale="91" orientation="portrait" horizontalDpi="360" verticalDpi="3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38"/>
  <sheetViews>
    <sheetView view="pageBreakPreview" topLeftCell="A109" zoomScaleSheetLayoutView="100" workbookViewId="0">
      <selection activeCell="A127" sqref="A127:B127"/>
    </sheetView>
  </sheetViews>
  <sheetFormatPr defaultRowHeight="12" x14ac:dyDescent="0.2"/>
  <cols>
    <col min="1" max="1" width="27" style="45" customWidth="1"/>
    <col min="2" max="2" width="16" style="61" customWidth="1"/>
    <col min="3" max="3" width="26.6640625" style="45" customWidth="1"/>
    <col min="4" max="4" width="23.5" style="45" customWidth="1"/>
    <col min="5" max="5" width="22.33203125" style="45" customWidth="1"/>
    <col min="6" max="6" width="14.33203125" style="45" customWidth="1"/>
    <col min="7" max="7" width="14.83203125" style="45" customWidth="1"/>
    <col min="8" max="8" width="19.83203125" style="45" customWidth="1"/>
    <col min="9" max="9" width="22" style="45" customWidth="1"/>
    <col min="10" max="10" width="23.83203125" style="45" customWidth="1"/>
    <col min="11" max="11" width="16" style="45" customWidth="1"/>
    <col min="12" max="16384" width="9.33203125" style="45"/>
  </cols>
  <sheetData>
    <row r="1" spans="1:11" s="165" customFormat="1" ht="27.75" customHeight="1" x14ac:dyDescent="0.2">
      <c r="A1" s="505" t="s">
        <v>45</v>
      </c>
      <c r="B1" s="506"/>
      <c r="C1" s="506"/>
      <c r="D1" s="506"/>
      <c r="E1" s="506"/>
      <c r="F1" s="506"/>
      <c r="G1" s="506"/>
      <c r="H1" s="506"/>
      <c r="I1" s="506"/>
      <c r="J1" s="507"/>
    </row>
    <row r="2" spans="1:11" x14ac:dyDescent="0.2">
      <c r="A2" s="28" t="s">
        <v>46</v>
      </c>
      <c r="B2" s="285" t="str">
        <f>PLANILHA!A6</f>
        <v>CONSTRUÇÃO DO MURO DO CEMITÉRIO NO DISTRITO DE NOVA MINDA, JAPONVAR/MG</v>
      </c>
      <c r="C2" s="286"/>
      <c r="D2" s="286"/>
      <c r="E2" s="286"/>
      <c r="F2" s="286"/>
      <c r="G2" s="286"/>
      <c r="H2" s="286"/>
      <c r="I2" s="286"/>
      <c r="J2" s="502"/>
    </row>
    <row r="3" spans="1:11" x14ac:dyDescent="0.2">
      <c r="A3" s="28" t="s">
        <v>47</v>
      </c>
      <c r="B3" s="285" t="str">
        <f>PLANILHA!M6</f>
        <v>DISTRITO DE NOVA MINDA/ JAPONVAR - MG</v>
      </c>
      <c r="C3" s="286"/>
      <c r="D3" s="286"/>
      <c r="E3" s="286"/>
      <c r="F3" s="286"/>
      <c r="G3" s="286"/>
      <c r="H3" s="286"/>
      <c r="I3" s="286"/>
      <c r="J3" s="502"/>
    </row>
    <row r="4" spans="1:11" x14ac:dyDescent="0.2">
      <c r="A4" s="375" t="str">
        <f>PLANILHA!A49</f>
        <v>LOCAL E DATA: JAPONVAR/MG, JULHO DE 2020</v>
      </c>
      <c r="B4" s="286"/>
      <c r="C4" s="286"/>
      <c r="D4" s="286"/>
      <c r="E4" s="286"/>
      <c r="F4" s="286"/>
      <c r="G4" s="286"/>
      <c r="H4" s="286"/>
      <c r="I4" s="286"/>
      <c r="J4" s="502"/>
    </row>
    <row r="5" spans="1:11" ht="19.5" customHeight="1" x14ac:dyDescent="0.2">
      <c r="A5" s="508" t="str">
        <f>PLANILHA!A22</f>
        <v>CONSTRUÇÃO DO MURO DO CEMITÉRIO NO DISTRITO DE NOVA MINDA, JAPONVAR/MG</v>
      </c>
      <c r="B5" s="509"/>
      <c r="C5" s="509"/>
      <c r="D5" s="509"/>
      <c r="E5" s="509"/>
      <c r="F5" s="509"/>
      <c r="G5" s="509"/>
      <c r="H5" s="509"/>
      <c r="I5" s="509"/>
      <c r="J5" s="510"/>
    </row>
    <row r="6" spans="1:11" ht="12" customHeight="1" x14ac:dyDescent="0.2">
      <c r="A6" s="511" t="s">
        <v>48</v>
      </c>
      <c r="B6" s="512"/>
      <c r="C6" s="512"/>
      <c r="D6" s="512"/>
      <c r="E6" s="512"/>
      <c r="F6" s="512"/>
      <c r="G6" s="512"/>
      <c r="H6" s="512"/>
      <c r="I6" s="512"/>
      <c r="J6" s="513"/>
    </row>
    <row r="7" spans="1:11" ht="12" customHeight="1" x14ac:dyDescent="0.2">
      <c r="A7" s="375"/>
      <c r="B7" s="286"/>
      <c r="C7" s="286"/>
      <c r="D7" s="286"/>
      <c r="E7" s="286"/>
      <c r="F7" s="286"/>
      <c r="G7" s="286"/>
      <c r="H7" s="286"/>
      <c r="I7" s="286"/>
      <c r="J7" s="502"/>
    </row>
    <row r="8" spans="1:11" ht="12" customHeight="1" x14ac:dyDescent="0.2">
      <c r="A8" s="29" t="s">
        <v>116</v>
      </c>
      <c r="B8" s="58" t="s">
        <v>37</v>
      </c>
      <c r="C8" s="493"/>
      <c r="D8" s="478" t="s">
        <v>39</v>
      </c>
      <c r="E8" s="479"/>
      <c r="F8" s="479"/>
      <c r="G8" s="479"/>
      <c r="H8" s="479"/>
      <c r="I8" s="479"/>
      <c r="J8" s="480"/>
    </row>
    <row r="9" spans="1:11" ht="12" customHeight="1" x14ac:dyDescent="0.2">
      <c r="A9" s="29" t="s">
        <v>49</v>
      </c>
      <c r="B9" s="60"/>
      <c r="C9" s="494"/>
      <c r="D9" s="481"/>
      <c r="E9" s="482"/>
      <c r="F9" s="482"/>
      <c r="G9" s="482"/>
      <c r="H9" s="482"/>
      <c r="I9" s="482"/>
      <c r="J9" s="483"/>
    </row>
    <row r="10" spans="1:11" ht="12" customHeight="1" x14ac:dyDescent="0.2">
      <c r="A10" s="469" t="s">
        <v>50</v>
      </c>
      <c r="B10" s="473"/>
      <c r="C10" s="46"/>
      <c r="D10" s="8" t="s">
        <v>51</v>
      </c>
      <c r="E10" s="8" t="s">
        <v>52</v>
      </c>
      <c r="F10" s="9" t="s">
        <v>53</v>
      </c>
      <c r="G10" s="9" t="s">
        <v>54</v>
      </c>
      <c r="H10" s="46"/>
      <c r="I10" s="8" t="s">
        <v>55</v>
      </c>
      <c r="J10" s="30" t="s">
        <v>56</v>
      </c>
    </row>
    <row r="11" spans="1:11" ht="12" customHeight="1" x14ac:dyDescent="0.2">
      <c r="A11" s="375" t="s">
        <v>107</v>
      </c>
      <c r="B11" s="287"/>
      <c r="C11" s="46"/>
      <c r="D11" s="16">
        <v>3</v>
      </c>
      <c r="E11" s="16">
        <v>1.5</v>
      </c>
      <c r="F11" s="46"/>
      <c r="G11" s="16">
        <v>1</v>
      </c>
      <c r="H11" s="46"/>
      <c r="I11" s="16">
        <f>ROUND((E11*G11*D11),2)</f>
        <v>4.5</v>
      </c>
      <c r="J11" s="31"/>
    </row>
    <row r="12" spans="1:11" ht="12" customHeight="1" x14ac:dyDescent="0.2">
      <c r="A12" s="472" t="s">
        <v>57</v>
      </c>
      <c r="B12" s="460"/>
      <c r="C12" s="460"/>
      <c r="D12" s="460"/>
      <c r="E12" s="460"/>
      <c r="F12" s="460"/>
      <c r="G12" s="460"/>
      <c r="H12" s="462"/>
      <c r="I12" s="18">
        <f>I11</f>
        <v>4.5</v>
      </c>
      <c r="J12" s="31"/>
    </row>
    <row r="13" spans="1:11" ht="12" customHeight="1" x14ac:dyDescent="0.2">
      <c r="A13" s="375"/>
      <c r="B13" s="286"/>
      <c r="C13" s="286"/>
      <c r="D13" s="286"/>
      <c r="E13" s="286"/>
      <c r="F13" s="286"/>
      <c r="G13" s="286"/>
      <c r="H13" s="286"/>
      <c r="I13" s="286"/>
      <c r="J13" s="502"/>
    </row>
    <row r="14" spans="1:11" ht="12" customHeight="1" x14ac:dyDescent="0.2">
      <c r="A14" s="511" t="s">
        <v>193</v>
      </c>
      <c r="B14" s="512"/>
      <c r="C14" s="512"/>
      <c r="D14" s="512"/>
      <c r="E14" s="512"/>
      <c r="F14" s="512"/>
      <c r="G14" s="512"/>
      <c r="H14" s="512"/>
      <c r="I14" s="512"/>
      <c r="J14" s="513"/>
    </row>
    <row r="15" spans="1:11" s="272" customFormat="1" ht="12" customHeight="1" x14ac:dyDescent="0.2">
      <c r="A15" s="270"/>
      <c r="B15" s="271"/>
      <c r="C15" s="271"/>
      <c r="D15" s="271"/>
      <c r="E15" s="271"/>
      <c r="F15" s="271"/>
      <c r="G15" s="271"/>
      <c r="H15" s="271"/>
      <c r="I15" s="271"/>
      <c r="J15" s="273"/>
      <c r="K15" s="271"/>
    </row>
    <row r="16" spans="1:11" ht="12" customHeight="1" x14ac:dyDescent="0.2">
      <c r="A16" s="29" t="s">
        <v>116</v>
      </c>
      <c r="B16" s="58" t="s">
        <v>103</v>
      </c>
      <c r="C16" s="493"/>
      <c r="D16" s="478" t="str">
        <f>PLANILHA!D27</f>
        <v xml:space="preserve">LASTRO DE CONCRETO MAGRO, INCLUSIVE TRANSPORTE,
LANÇAMENTO E ADENSAMENTO </v>
      </c>
      <c r="E16" s="479"/>
      <c r="F16" s="479"/>
      <c r="G16" s="479"/>
      <c r="H16" s="479"/>
      <c r="I16" s="479"/>
      <c r="J16" s="480"/>
    </row>
    <row r="17" spans="1:11" ht="12" customHeight="1" x14ac:dyDescent="0.2">
      <c r="A17" s="29" t="s">
        <v>49</v>
      </c>
      <c r="B17" s="59"/>
      <c r="C17" s="494"/>
      <c r="D17" s="481"/>
      <c r="E17" s="482"/>
      <c r="F17" s="482"/>
      <c r="G17" s="482"/>
      <c r="H17" s="482"/>
      <c r="I17" s="482"/>
      <c r="J17" s="483"/>
    </row>
    <row r="18" spans="1:11" ht="12" customHeight="1" x14ac:dyDescent="0.2">
      <c r="A18" s="469" t="s">
        <v>50</v>
      </c>
      <c r="B18" s="473"/>
      <c r="C18" s="46"/>
      <c r="D18" s="8" t="s">
        <v>51</v>
      </c>
      <c r="E18" s="9" t="s">
        <v>52</v>
      </c>
      <c r="F18" s="9" t="s">
        <v>53</v>
      </c>
      <c r="G18" s="9" t="s">
        <v>54</v>
      </c>
      <c r="H18" s="9" t="s">
        <v>125</v>
      </c>
      <c r="I18" s="9" t="s">
        <v>115</v>
      </c>
      <c r="J18" s="30" t="s">
        <v>56</v>
      </c>
    </row>
    <row r="19" spans="1:11" ht="26.25" customHeight="1" x14ac:dyDescent="0.2">
      <c r="A19" s="503" t="s">
        <v>152</v>
      </c>
      <c r="B19" s="504"/>
      <c r="C19" s="124" t="s">
        <v>242</v>
      </c>
      <c r="D19" s="144">
        <f>68.12+98.26+30.43+38.9+102.87</f>
        <v>338.58000000000004</v>
      </c>
      <c r="E19" s="144">
        <v>0.2</v>
      </c>
      <c r="F19" s="152">
        <v>0.05</v>
      </c>
      <c r="G19" s="144">
        <v>1</v>
      </c>
      <c r="H19" s="152">
        <f>D19*E19</f>
        <v>67.716000000000008</v>
      </c>
      <c r="I19" s="133">
        <f>G19*H19*F19</f>
        <v>3.3858000000000006</v>
      </c>
      <c r="J19" s="30"/>
    </row>
    <row r="20" spans="1:11" x14ac:dyDescent="0.2">
      <c r="A20" s="348" t="s">
        <v>142</v>
      </c>
      <c r="B20" s="350"/>
      <c r="C20" s="152" t="s">
        <v>141</v>
      </c>
      <c r="D20" s="144">
        <v>0.6</v>
      </c>
      <c r="E20" s="125">
        <v>0.6</v>
      </c>
      <c r="F20" s="125">
        <v>0.05</v>
      </c>
      <c r="G20" s="125">
        <v>112</v>
      </c>
      <c r="H20" s="152">
        <f t="shared" ref="H20" si="0">D20*E20</f>
        <v>0.36</v>
      </c>
      <c r="I20" s="133">
        <f t="shared" ref="I20" si="1">G20*H20*F20</f>
        <v>2.016</v>
      </c>
      <c r="J20" s="31"/>
      <c r="K20" s="47"/>
    </row>
    <row r="21" spans="1:11" ht="12" customHeight="1" x14ac:dyDescent="0.2">
      <c r="A21" s="472" t="s">
        <v>57</v>
      </c>
      <c r="B21" s="460"/>
      <c r="C21" s="460"/>
      <c r="D21" s="460"/>
      <c r="E21" s="460"/>
      <c r="F21" s="460"/>
      <c r="G21" s="460"/>
      <c r="H21" s="462"/>
      <c r="I21" s="20">
        <f>SUM(I19:I20)</f>
        <v>5.4018000000000006</v>
      </c>
      <c r="J21" s="31"/>
    </row>
    <row r="22" spans="1:11" s="272" customFormat="1" ht="12" customHeight="1" x14ac:dyDescent="0.2">
      <c r="A22" s="270"/>
      <c r="B22" s="271"/>
      <c r="C22" s="271"/>
      <c r="D22" s="271"/>
      <c r="E22" s="271"/>
      <c r="F22" s="271"/>
      <c r="G22" s="271"/>
      <c r="H22" s="271"/>
      <c r="I22" s="271"/>
      <c r="J22" s="273"/>
      <c r="K22" s="271"/>
    </row>
    <row r="23" spans="1:11" s="138" customFormat="1" x14ac:dyDescent="0.2">
      <c r="A23" s="136" t="s">
        <v>109</v>
      </c>
      <c r="B23" s="58" t="s">
        <v>192</v>
      </c>
      <c r="C23" s="137"/>
      <c r="D23" s="484" t="str">
        <f>PLANILHA!D28</f>
        <v>ESCAVAÇÃO MECÂNICA DE VALAS COM DESCARGA LATERAL H
&lt;= 1,50 M</v>
      </c>
      <c r="E23" s="484"/>
      <c r="F23" s="484"/>
      <c r="G23" s="484"/>
      <c r="H23" s="484"/>
      <c r="I23" s="484"/>
      <c r="J23" s="485"/>
    </row>
    <row r="24" spans="1:11" s="138" customFormat="1" x14ac:dyDescent="0.2">
      <c r="A24" s="136" t="s">
        <v>49</v>
      </c>
      <c r="B24" s="139"/>
      <c r="C24" s="140"/>
      <c r="D24" s="484"/>
      <c r="E24" s="484"/>
      <c r="F24" s="484"/>
      <c r="G24" s="484"/>
      <c r="H24" s="484"/>
      <c r="I24" s="484"/>
      <c r="J24" s="485"/>
    </row>
    <row r="25" spans="1:11" s="138" customFormat="1" x14ac:dyDescent="0.2">
      <c r="A25" s="486"/>
      <c r="B25" s="487"/>
      <c r="C25" s="474" t="s">
        <v>182</v>
      </c>
      <c r="D25" s="492" t="s">
        <v>51</v>
      </c>
      <c r="E25" s="492" t="s">
        <v>52</v>
      </c>
      <c r="F25" s="492" t="s">
        <v>54</v>
      </c>
      <c r="G25" s="488" t="s">
        <v>149</v>
      </c>
      <c r="H25" s="474" t="s">
        <v>182</v>
      </c>
      <c r="I25" s="488" t="s">
        <v>150</v>
      </c>
      <c r="J25" s="489" t="s">
        <v>151</v>
      </c>
    </row>
    <row r="26" spans="1:11" s="138" customFormat="1" x14ac:dyDescent="0.2">
      <c r="A26" s="486"/>
      <c r="B26" s="487"/>
      <c r="C26" s="475"/>
      <c r="D26" s="492"/>
      <c r="E26" s="492"/>
      <c r="F26" s="492"/>
      <c r="G26" s="488"/>
      <c r="H26" s="475"/>
      <c r="I26" s="488"/>
      <c r="J26" s="489"/>
    </row>
    <row r="27" spans="1:11" s="138" customFormat="1" ht="27.75" customHeight="1" x14ac:dyDescent="0.2">
      <c r="A27" s="490" t="s">
        <v>142</v>
      </c>
      <c r="B27" s="491"/>
      <c r="C27" s="514" t="s">
        <v>181</v>
      </c>
      <c r="D27" s="141">
        <f>0.6+0.1</f>
        <v>0.7</v>
      </c>
      <c r="E27" s="141">
        <f>0.6+0.1</f>
        <v>0.7</v>
      </c>
      <c r="F27" s="141">
        <f>G20</f>
        <v>112</v>
      </c>
      <c r="G27" s="141">
        <v>1.05</v>
      </c>
      <c r="H27" s="476" t="s">
        <v>194</v>
      </c>
      <c r="I27" s="141">
        <f>D27*E27*F27*G27</f>
        <v>57.623999999999995</v>
      </c>
      <c r="J27" s="516"/>
    </row>
    <row r="28" spans="1:11" s="138" customFormat="1" x14ac:dyDescent="0.2">
      <c r="A28" s="490" t="s">
        <v>152</v>
      </c>
      <c r="B28" s="491"/>
      <c r="C28" s="515"/>
      <c r="D28" s="141">
        <f>D19</f>
        <v>338.58000000000004</v>
      </c>
      <c r="E28" s="141">
        <f>0.2+0.2</f>
        <v>0.4</v>
      </c>
      <c r="F28" s="141">
        <v>1</v>
      </c>
      <c r="G28" s="141">
        <v>0.25</v>
      </c>
      <c r="H28" s="477"/>
      <c r="I28" s="141">
        <f>D28*E28*F28*G28</f>
        <v>33.858000000000004</v>
      </c>
      <c r="J28" s="517"/>
    </row>
    <row r="29" spans="1:11" s="138" customFormat="1" x14ac:dyDescent="0.2">
      <c r="A29" s="472" t="s">
        <v>57</v>
      </c>
      <c r="B29" s="460"/>
      <c r="C29" s="460"/>
      <c r="D29" s="460"/>
      <c r="E29" s="460"/>
      <c r="F29" s="460"/>
      <c r="G29" s="460"/>
      <c r="H29" s="462"/>
      <c r="I29" s="142">
        <f>ROUND(SUM(I27:I28),2)</f>
        <v>91.48</v>
      </c>
      <c r="J29" s="143"/>
    </row>
    <row r="30" spans="1:11" s="272" customFormat="1" ht="12" customHeight="1" x14ac:dyDescent="0.2">
      <c r="A30" s="270"/>
      <c r="B30" s="271"/>
      <c r="C30" s="271"/>
      <c r="D30" s="271"/>
      <c r="E30" s="271"/>
      <c r="F30" s="271"/>
      <c r="G30" s="271"/>
      <c r="H30" s="271"/>
      <c r="I30" s="271"/>
      <c r="J30" s="273"/>
      <c r="K30" s="271"/>
    </row>
    <row r="31" spans="1:11" s="221" customFormat="1" ht="12" customHeight="1" x14ac:dyDescent="0.2">
      <c r="A31" s="29" t="s">
        <v>116</v>
      </c>
      <c r="B31" s="58" t="s">
        <v>191</v>
      </c>
      <c r="C31" s="493"/>
      <c r="D31" s="478" t="str">
        <f>PLANILHA!D29</f>
        <v>REGULARIZAÇÃO E COMPACTAÇÃO DE SUBLEITO DE SOLO PREDOMINANTEMENTE ARG. AF_11/2019</v>
      </c>
      <c r="E31" s="479"/>
      <c r="F31" s="479"/>
      <c r="G31" s="479"/>
      <c r="H31" s="479"/>
      <c r="I31" s="479"/>
      <c r="J31" s="480"/>
    </row>
    <row r="32" spans="1:11" s="221" customFormat="1" ht="12" customHeight="1" x14ac:dyDescent="0.2">
      <c r="A32" s="29" t="s">
        <v>49</v>
      </c>
      <c r="B32" s="59"/>
      <c r="C32" s="494"/>
      <c r="D32" s="481"/>
      <c r="E32" s="482"/>
      <c r="F32" s="495"/>
      <c r="G32" s="482"/>
      <c r="H32" s="482"/>
      <c r="I32" s="482"/>
      <c r="J32" s="483"/>
    </row>
    <row r="33" spans="1:11" s="221" customFormat="1" ht="12" customHeight="1" x14ac:dyDescent="0.2">
      <c r="A33" s="469" t="s">
        <v>50</v>
      </c>
      <c r="B33" s="473"/>
      <c r="C33" s="46"/>
      <c r="D33" s="9" t="s">
        <v>51</v>
      </c>
      <c r="E33" s="154" t="s">
        <v>52</v>
      </c>
      <c r="F33" s="155"/>
      <c r="G33" s="248"/>
      <c r="H33" s="46"/>
      <c r="I33" s="9" t="s">
        <v>135</v>
      </c>
      <c r="J33" s="30" t="s">
        <v>56</v>
      </c>
    </row>
    <row r="34" spans="1:11" s="221" customFormat="1" ht="12" customHeight="1" x14ac:dyDescent="0.2">
      <c r="A34" s="375" t="s">
        <v>167</v>
      </c>
      <c r="B34" s="287"/>
      <c r="C34" s="46"/>
      <c r="D34" s="16">
        <f>D28</f>
        <v>338.58000000000004</v>
      </c>
      <c r="E34" s="16">
        <f>E28</f>
        <v>0.4</v>
      </c>
      <c r="F34" s="16"/>
      <c r="G34" s="16"/>
      <c r="H34" s="16"/>
      <c r="I34" s="16">
        <f>D34*E34</f>
        <v>135.43200000000002</v>
      </c>
      <c r="J34" s="153"/>
    </row>
    <row r="35" spans="1:11" s="221" customFormat="1" ht="12" customHeight="1" x14ac:dyDescent="0.2">
      <c r="A35" s="472" t="s">
        <v>57</v>
      </c>
      <c r="B35" s="460"/>
      <c r="C35" s="460"/>
      <c r="D35" s="219">
        <f>SUM(D34:D34)</f>
        <v>338.58000000000004</v>
      </c>
      <c r="E35" s="472" t="s">
        <v>57</v>
      </c>
      <c r="F35" s="460"/>
      <c r="G35" s="460"/>
      <c r="H35" s="462"/>
      <c r="I35" s="20">
        <f>SUM(I34:I34)</f>
        <v>135.43200000000002</v>
      </c>
      <c r="J35" s="222"/>
    </row>
    <row r="36" spans="1:11" s="221" customFormat="1" ht="12" customHeight="1" x14ac:dyDescent="0.2">
      <c r="A36" s="469"/>
      <c r="B36" s="470"/>
      <c r="C36" s="470"/>
      <c r="D36" s="470"/>
      <c r="E36" s="470"/>
      <c r="F36" s="470"/>
      <c r="G36" s="470"/>
      <c r="H36" s="470"/>
      <c r="I36" s="470"/>
      <c r="J36" s="471"/>
    </row>
    <row r="37" spans="1:11" ht="13.5" customHeight="1" x14ac:dyDescent="0.2">
      <c r="A37" s="29" t="s">
        <v>116</v>
      </c>
      <c r="B37" s="58" t="s">
        <v>190</v>
      </c>
      <c r="C37" s="493"/>
      <c r="D37" s="478" t="str">
        <f>PLANILHA!D30</f>
        <v>CORTE E DOBRA DE AÇO CA-60, DIÂMETRO DE 5,0 MM, UTILIZADO EM ESTRUTURA DIVERSAS, EXCETO LAJES. AF_12/2015</v>
      </c>
      <c r="E37" s="479"/>
      <c r="F37" s="479"/>
      <c r="G37" s="479"/>
      <c r="H37" s="479"/>
      <c r="I37" s="479"/>
      <c r="J37" s="480"/>
    </row>
    <row r="38" spans="1:11" ht="13.5" customHeight="1" x14ac:dyDescent="0.2">
      <c r="A38" s="29" t="s">
        <v>49</v>
      </c>
      <c r="B38" s="59"/>
      <c r="C38" s="494"/>
      <c r="D38" s="481"/>
      <c r="E38" s="482"/>
      <c r="F38" s="482"/>
      <c r="G38" s="482"/>
      <c r="H38" s="482"/>
      <c r="I38" s="482"/>
      <c r="J38" s="483"/>
    </row>
    <row r="39" spans="1:11" ht="12" customHeight="1" x14ac:dyDescent="0.2">
      <c r="A39" s="469" t="s">
        <v>50</v>
      </c>
      <c r="B39" s="473"/>
      <c r="C39" s="46"/>
      <c r="D39" s="8"/>
      <c r="E39" s="9" t="s">
        <v>145</v>
      </c>
      <c r="F39" s="9"/>
      <c r="G39" s="9"/>
      <c r="H39" s="46"/>
      <c r="I39" s="9" t="s">
        <v>126</v>
      </c>
      <c r="J39" s="30" t="s">
        <v>56</v>
      </c>
    </row>
    <row r="40" spans="1:11" x14ac:dyDescent="0.2">
      <c r="A40" s="375" t="s">
        <v>142</v>
      </c>
      <c r="B40" s="287"/>
      <c r="C40" s="46"/>
      <c r="D40" s="19"/>
      <c r="E40" s="19">
        <v>175.93</v>
      </c>
      <c r="F40" s="19"/>
      <c r="G40" s="19"/>
      <c r="H40" s="46"/>
      <c r="I40" s="16">
        <f>E40</f>
        <v>175.93</v>
      </c>
      <c r="J40" s="31"/>
      <c r="K40" s="47"/>
    </row>
    <row r="41" spans="1:11" x14ac:dyDescent="0.2">
      <c r="A41" s="375" t="s">
        <v>146</v>
      </c>
      <c r="B41" s="287"/>
      <c r="C41" s="46"/>
      <c r="D41" s="19"/>
      <c r="E41" s="19">
        <v>83.12</v>
      </c>
      <c r="F41" s="19"/>
      <c r="G41" s="19"/>
      <c r="H41" s="46"/>
      <c r="I41" s="16">
        <f t="shared" ref="I41:I42" si="2">E41</f>
        <v>83.12</v>
      </c>
      <c r="J41" s="31"/>
      <c r="K41" s="47"/>
    </row>
    <row r="42" spans="1:11" x14ac:dyDescent="0.2">
      <c r="A42" s="375" t="s">
        <v>148</v>
      </c>
      <c r="B42" s="287"/>
      <c r="C42" s="46"/>
      <c r="D42" s="19"/>
      <c r="E42" s="19">
        <v>243.41</v>
      </c>
      <c r="F42" s="19"/>
      <c r="G42" s="19"/>
      <c r="H42" s="46"/>
      <c r="I42" s="16">
        <f t="shared" si="2"/>
        <v>243.41</v>
      </c>
      <c r="J42" s="31"/>
    </row>
    <row r="43" spans="1:11" ht="12" customHeight="1" x14ac:dyDescent="0.2">
      <c r="A43" s="472" t="s">
        <v>57</v>
      </c>
      <c r="B43" s="460"/>
      <c r="C43" s="460"/>
      <c r="D43" s="460"/>
      <c r="E43" s="460"/>
      <c r="F43" s="460"/>
      <c r="G43" s="460"/>
      <c r="H43" s="462"/>
      <c r="I43" s="20">
        <f>ROUND(SUM(I40:I42),2)</f>
        <v>502.46</v>
      </c>
      <c r="J43" s="31"/>
    </row>
    <row r="44" spans="1:11" ht="12" customHeight="1" x14ac:dyDescent="0.2">
      <c r="A44" s="469"/>
      <c r="B44" s="470"/>
      <c r="C44" s="470"/>
      <c r="D44" s="470"/>
      <c r="E44" s="470"/>
      <c r="F44" s="470"/>
      <c r="G44" s="470"/>
      <c r="H44" s="470"/>
      <c r="I44" s="470"/>
      <c r="J44" s="471"/>
    </row>
    <row r="45" spans="1:11" ht="13.5" customHeight="1" x14ac:dyDescent="0.2">
      <c r="A45" s="29" t="s">
        <v>116</v>
      </c>
      <c r="B45" s="58" t="s">
        <v>189</v>
      </c>
      <c r="C45" s="493"/>
      <c r="D45" s="478" t="str">
        <f>PLANILHA!D31</f>
        <v>CORTE E DOBRA DE AÇO CA-50, DIÂMETRO DE 8,0 MM, UTILIZADO EM ESTRUTURA  DIVERSAS, EXCETO LAJES. AF_12/2015</v>
      </c>
      <c r="E45" s="479"/>
      <c r="F45" s="479"/>
      <c r="G45" s="479"/>
      <c r="H45" s="479"/>
      <c r="I45" s="479"/>
      <c r="J45" s="480"/>
    </row>
    <row r="46" spans="1:11" ht="13.5" customHeight="1" x14ac:dyDescent="0.2">
      <c r="A46" s="29" t="s">
        <v>49</v>
      </c>
      <c r="B46" s="59"/>
      <c r="C46" s="494"/>
      <c r="D46" s="481"/>
      <c r="E46" s="482"/>
      <c r="F46" s="482"/>
      <c r="G46" s="482"/>
      <c r="H46" s="482"/>
      <c r="I46" s="482"/>
      <c r="J46" s="483"/>
    </row>
    <row r="47" spans="1:11" ht="12" customHeight="1" x14ac:dyDescent="0.2">
      <c r="A47" s="469" t="s">
        <v>50</v>
      </c>
      <c r="B47" s="473"/>
      <c r="C47" s="46"/>
      <c r="D47" s="8"/>
      <c r="E47" s="9" t="s">
        <v>145</v>
      </c>
      <c r="F47" s="9"/>
      <c r="G47" s="9"/>
      <c r="H47" s="46"/>
      <c r="I47" s="9" t="s">
        <v>126</v>
      </c>
      <c r="J47" s="30" t="s">
        <v>56</v>
      </c>
    </row>
    <row r="48" spans="1:11" x14ac:dyDescent="0.2">
      <c r="A48" s="375" t="s">
        <v>144</v>
      </c>
      <c r="B48" s="287"/>
      <c r="C48" s="46"/>
      <c r="D48" s="19"/>
      <c r="E48" s="19">
        <v>534.96</v>
      </c>
      <c r="F48" s="19"/>
      <c r="G48" s="19"/>
      <c r="H48" s="46"/>
      <c r="I48" s="16">
        <f t="shared" ref="I48" si="3">E48</f>
        <v>534.96</v>
      </c>
      <c r="J48" s="31"/>
    </row>
    <row r="49" spans="1:14" ht="12" customHeight="1" x14ac:dyDescent="0.2">
      <c r="A49" s="472" t="s">
        <v>57</v>
      </c>
      <c r="B49" s="460"/>
      <c r="C49" s="460"/>
      <c r="D49" s="460"/>
      <c r="E49" s="460"/>
      <c r="F49" s="460"/>
      <c r="G49" s="460"/>
      <c r="H49" s="462"/>
      <c r="I49" s="20">
        <f>ROUND(SUM(I48:I48),2)</f>
        <v>534.96</v>
      </c>
      <c r="J49" s="31"/>
    </row>
    <row r="50" spans="1:14" s="272" customFormat="1" ht="12" customHeight="1" x14ac:dyDescent="0.2">
      <c r="A50" s="270"/>
      <c r="B50" s="271"/>
      <c r="C50" s="271"/>
      <c r="D50" s="271"/>
      <c r="E50" s="271"/>
      <c r="F50" s="271"/>
      <c r="G50" s="271"/>
      <c r="H50" s="271"/>
      <c r="I50" s="271"/>
      <c r="J50" s="273"/>
      <c r="K50" s="271"/>
      <c r="L50" s="271"/>
      <c r="M50" s="271"/>
      <c r="N50" s="271"/>
    </row>
    <row r="51" spans="1:14" ht="13.5" customHeight="1" x14ac:dyDescent="0.2">
      <c r="A51" s="29" t="s">
        <v>116</v>
      </c>
      <c r="B51" s="58" t="s">
        <v>188</v>
      </c>
      <c r="C51" s="493"/>
      <c r="D51" s="478" t="str">
        <f>PLANILHA!D32</f>
        <v>CORTE E DOBRA DE AÇO CA-50, DIÂMETRO DE 10,0 MM, UTILIZADO EM ESTRUTURAS DIVERSAS, EXCETO LAJES. AF_12/2015</v>
      </c>
      <c r="E51" s="479"/>
      <c r="F51" s="479"/>
      <c r="G51" s="479"/>
      <c r="H51" s="479"/>
      <c r="I51" s="479"/>
      <c r="J51" s="480"/>
    </row>
    <row r="52" spans="1:14" ht="13.5" customHeight="1" x14ac:dyDescent="0.2">
      <c r="A52" s="29" t="s">
        <v>49</v>
      </c>
      <c r="B52" s="59"/>
      <c r="C52" s="494"/>
      <c r="D52" s="481"/>
      <c r="E52" s="482"/>
      <c r="F52" s="482"/>
      <c r="G52" s="482"/>
      <c r="H52" s="482"/>
      <c r="I52" s="482"/>
      <c r="J52" s="483"/>
    </row>
    <row r="53" spans="1:14" ht="12" customHeight="1" x14ac:dyDescent="0.2">
      <c r="A53" s="469" t="s">
        <v>50</v>
      </c>
      <c r="B53" s="473"/>
      <c r="C53" s="46"/>
      <c r="D53" s="8"/>
      <c r="E53" s="9" t="s">
        <v>145</v>
      </c>
      <c r="F53" s="9"/>
      <c r="G53" s="9"/>
      <c r="H53" s="46"/>
      <c r="I53" s="9" t="s">
        <v>126</v>
      </c>
      <c r="J53" s="30" t="s">
        <v>56</v>
      </c>
    </row>
    <row r="54" spans="1:14" x14ac:dyDescent="0.2">
      <c r="A54" s="375" t="s">
        <v>142</v>
      </c>
      <c r="B54" s="287"/>
      <c r="C54" s="46"/>
      <c r="D54" s="19"/>
      <c r="E54" s="19">
        <v>262.60000000000002</v>
      </c>
      <c r="F54" s="19"/>
      <c r="G54" s="19"/>
      <c r="H54" s="46"/>
      <c r="I54" s="16">
        <f t="shared" ref="I54" si="4">E54</f>
        <v>262.60000000000002</v>
      </c>
      <c r="J54" s="31"/>
    </row>
    <row r="55" spans="1:14" ht="12" customHeight="1" x14ac:dyDescent="0.2">
      <c r="A55" s="536" t="s">
        <v>57</v>
      </c>
      <c r="B55" s="461"/>
      <c r="C55" s="461"/>
      <c r="D55" s="461"/>
      <c r="E55" s="461"/>
      <c r="F55" s="461"/>
      <c r="G55" s="461"/>
      <c r="H55" s="537"/>
      <c r="I55" s="134">
        <f>ROUND(SUM(I54:I54),2)</f>
        <v>262.60000000000002</v>
      </c>
      <c r="J55" s="135"/>
    </row>
    <row r="56" spans="1:14" s="272" customFormat="1" ht="12" customHeight="1" x14ac:dyDescent="0.2">
      <c r="A56" s="270"/>
      <c r="B56" s="271"/>
      <c r="C56" s="271"/>
      <c r="D56" s="271"/>
      <c r="E56" s="271"/>
      <c r="F56" s="271"/>
      <c r="G56" s="271"/>
      <c r="H56" s="271"/>
      <c r="I56" s="271"/>
      <c r="J56" s="273"/>
      <c r="K56" s="271"/>
      <c r="L56" s="271"/>
      <c r="M56" s="271"/>
      <c r="N56" s="271"/>
    </row>
    <row r="57" spans="1:14" ht="13.5" customHeight="1" x14ac:dyDescent="0.2">
      <c r="A57" s="29" t="s">
        <v>116</v>
      </c>
      <c r="B57" s="58" t="s">
        <v>183</v>
      </c>
      <c r="C57" s="493"/>
      <c r="D57" s="478" t="str">
        <f>PLANILHA!D33</f>
        <v>REATERRO MANUAL DE VALAS COM COMPACTAÇÃO MECANIZADA. AF_04/2016</v>
      </c>
      <c r="E57" s="479"/>
      <c r="F57" s="479"/>
      <c r="G57" s="479"/>
      <c r="H57" s="479"/>
      <c r="I57" s="479"/>
      <c r="J57" s="480"/>
    </row>
    <row r="58" spans="1:14" ht="13.5" customHeight="1" x14ac:dyDescent="0.2">
      <c r="A58" s="29" t="s">
        <v>49</v>
      </c>
      <c r="B58" s="59"/>
      <c r="C58" s="494"/>
      <c r="D58" s="481"/>
      <c r="E58" s="482"/>
      <c r="F58" s="482"/>
      <c r="G58" s="482"/>
      <c r="H58" s="482"/>
      <c r="I58" s="482"/>
      <c r="J58" s="483"/>
    </row>
    <row r="59" spans="1:14" ht="27.75" customHeight="1" x14ac:dyDescent="0.2">
      <c r="A59" s="469" t="s">
        <v>50</v>
      </c>
      <c r="B59" s="473"/>
      <c r="C59" s="46"/>
      <c r="D59" s="8"/>
      <c r="E59" s="8" t="s">
        <v>136</v>
      </c>
      <c r="F59" s="8"/>
      <c r="G59" s="9"/>
      <c r="H59" s="8" t="s">
        <v>137</v>
      </c>
      <c r="I59" s="9" t="s">
        <v>115</v>
      </c>
      <c r="J59" s="30" t="s">
        <v>56</v>
      </c>
    </row>
    <row r="60" spans="1:14" ht="42.75" customHeight="1" x14ac:dyDescent="0.2">
      <c r="A60" s="375" t="s">
        <v>140</v>
      </c>
      <c r="B60" s="287"/>
      <c r="C60" s="46" t="s">
        <v>138</v>
      </c>
      <c r="D60" s="19"/>
      <c r="E60" s="19">
        <f>I29</f>
        <v>91.48</v>
      </c>
      <c r="F60" s="19"/>
      <c r="G60" s="19"/>
      <c r="H60" s="127">
        <f>I81</f>
        <v>33.51</v>
      </c>
      <c r="I60" s="16">
        <f>E60-H60</f>
        <v>57.970000000000006</v>
      </c>
      <c r="J60" s="31"/>
      <c r="K60" s="47"/>
    </row>
    <row r="61" spans="1:14" ht="12" customHeight="1" x14ac:dyDescent="0.2">
      <c r="A61" s="472" t="s">
        <v>57</v>
      </c>
      <c r="B61" s="460"/>
      <c r="C61" s="460"/>
      <c r="D61" s="460"/>
      <c r="E61" s="460"/>
      <c r="F61" s="460"/>
      <c r="G61" s="460"/>
      <c r="H61" s="462"/>
      <c r="I61" s="20">
        <f>ROUND(SUM(I60:I60),2)</f>
        <v>57.97</v>
      </c>
      <c r="J61" s="31"/>
    </row>
    <row r="62" spans="1:14" s="272" customFormat="1" ht="12" customHeight="1" x14ac:dyDescent="0.2">
      <c r="A62" s="270"/>
      <c r="B62" s="271"/>
      <c r="C62" s="271"/>
      <c r="D62" s="271"/>
      <c r="E62" s="271"/>
      <c r="F62" s="271"/>
      <c r="G62" s="271"/>
      <c r="H62" s="271"/>
      <c r="I62" s="271"/>
      <c r="J62" s="273"/>
      <c r="K62" s="271"/>
      <c r="L62" s="271"/>
      <c r="M62" s="271"/>
      <c r="N62" s="271"/>
    </row>
    <row r="63" spans="1:14" ht="12" customHeight="1" x14ac:dyDescent="0.2">
      <c r="A63" s="29" t="s">
        <v>116</v>
      </c>
      <c r="B63" s="58" t="s">
        <v>185</v>
      </c>
      <c r="C63" s="493"/>
      <c r="D63" s="478" t="str">
        <f>PLANILHA!D34</f>
        <v xml:space="preserve">FORMA E DESFORMA DE COMPENSADO PLASTIFICADO, ESP.
12MM, REAPROVEITAMENTO (5X), EXCLUSIVE ESCORAMENTO </v>
      </c>
      <c r="E63" s="479"/>
      <c r="F63" s="479"/>
      <c r="G63" s="479"/>
      <c r="H63" s="479"/>
      <c r="I63" s="479"/>
      <c r="J63" s="480"/>
    </row>
    <row r="64" spans="1:14" ht="12" customHeight="1" x14ac:dyDescent="0.2">
      <c r="A64" s="29" t="s">
        <v>49</v>
      </c>
      <c r="B64" s="59"/>
      <c r="C64" s="494"/>
      <c r="D64" s="481"/>
      <c r="E64" s="482"/>
      <c r="F64" s="482"/>
      <c r="G64" s="482"/>
      <c r="H64" s="482"/>
      <c r="I64" s="482"/>
      <c r="J64" s="483"/>
    </row>
    <row r="65" spans="1:14" ht="12" customHeight="1" x14ac:dyDescent="0.2">
      <c r="A65" s="469" t="s">
        <v>50</v>
      </c>
      <c r="B65" s="473"/>
      <c r="C65" s="46"/>
      <c r="D65" s="8" t="s">
        <v>51</v>
      </c>
      <c r="E65" s="9" t="s">
        <v>52</v>
      </c>
      <c r="F65" s="9" t="s">
        <v>128</v>
      </c>
      <c r="G65" s="9" t="s">
        <v>54</v>
      </c>
      <c r="H65" s="9" t="s">
        <v>125</v>
      </c>
      <c r="I65" s="9" t="s">
        <v>110</v>
      </c>
      <c r="J65" s="30" t="s">
        <v>56</v>
      </c>
    </row>
    <row r="66" spans="1:14" ht="17.25" customHeight="1" x14ac:dyDescent="0.2">
      <c r="A66" s="348" t="s">
        <v>142</v>
      </c>
      <c r="B66" s="350"/>
      <c r="C66" s="1" t="s">
        <v>153</v>
      </c>
      <c r="D66" s="19">
        <f>D20</f>
        <v>0.6</v>
      </c>
      <c r="E66" s="19">
        <v>0.25</v>
      </c>
      <c r="F66" s="19">
        <v>4</v>
      </c>
      <c r="G66" s="19">
        <f>G20</f>
        <v>112</v>
      </c>
      <c r="H66" s="46">
        <f>D66*E66*F66</f>
        <v>0.6</v>
      </c>
      <c r="I66" s="133">
        <f>G66*H66</f>
        <v>67.2</v>
      </c>
      <c r="J66" s="31"/>
      <c r="K66" s="47"/>
    </row>
    <row r="67" spans="1:14" ht="12" customHeight="1" x14ac:dyDescent="0.2">
      <c r="A67" s="472" t="s">
        <v>57</v>
      </c>
      <c r="B67" s="460"/>
      <c r="C67" s="460"/>
      <c r="D67" s="460"/>
      <c r="E67" s="460"/>
      <c r="F67" s="460"/>
      <c r="G67" s="460"/>
      <c r="H67" s="462"/>
      <c r="I67" s="20">
        <f>ROUND(SUM(I66:I66),2)</f>
        <v>67.2</v>
      </c>
      <c r="J67" s="31"/>
    </row>
    <row r="68" spans="1:14" s="272" customFormat="1" ht="12" customHeight="1" x14ac:dyDescent="0.2">
      <c r="A68" s="270"/>
      <c r="B68" s="271"/>
      <c r="C68" s="271"/>
      <c r="D68" s="271"/>
      <c r="E68" s="271"/>
      <c r="F68" s="271"/>
      <c r="G68" s="271"/>
      <c r="H68" s="271"/>
      <c r="I68" s="271"/>
      <c r="J68" s="273"/>
      <c r="K68" s="271"/>
      <c r="L68" s="271"/>
      <c r="M68" s="271"/>
      <c r="N68" s="271"/>
    </row>
    <row r="69" spans="1:14" ht="12" customHeight="1" x14ac:dyDescent="0.2">
      <c r="A69" s="29" t="s">
        <v>116</v>
      </c>
      <c r="B69" s="58" t="s">
        <v>185</v>
      </c>
      <c r="C69" s="493"/>
      <c r="D69" s="478" t="s">
        <v>177</v>
      </c>
      <c r="E69" s="479"/>
      <c r="F69" s="479"/>
      <c r="G69" s="479"/>
      <c r="H69" s="479"/>
      <c r="I69" s="479"/>
      <c r="J69" s="480"/>
    </row>
    <row r="70" spans="1:14" ht="12" customHeight="1" x14ac:dyDescent="0.2">
      <c r="A70" s="29" t="s">
        <v>49</v>
      </c>
      <c r="B70" s="59"/>
      <c r="C70" s="494"/>
      <c r="D70" s="481"/>
      <c r="E70" s="482"/>
      <c r="F70" s="482"/>
      <c r="G70" s="482"/>
      <c r="H70" s="482"/>
      <c r="I70" s="482"/>
      <c r="J70" s="483"/>
    </row>
    <row r="71" spans="1:14" ht="12" customHeight="1" x14ac:dyDescent="0.2">
      <c r="A71" s="469" t="s">
        <v>50</v>
      </c>
      <c r="B71" s="473"/>
      <c r="C71" s="46"/>
      <c r="D71" s="8" t="s">
        <v>51</v>
      </c>
      <c r="E71" s="9" t="s">
        <v>52</v>
      </c>
      <c r="F71" s="9" t="s">
        <v>128</v>
      </c>
      <c r="G71" s="9" t="s">
        <v>54</v>
      </c>
      <c r="H71" s="9" t="s">
        <v>125</v>
      </c>
      <c r="I71" s="9" t="s">
        <v>110</v>
      </c>
      <c r="J71" s="30" t="s">
        <v>56</v>
      </c>
    </row>
    <row r="72" spans="1:14" ht="12" customHeight="1" x14ac:dyDescent="0.2">
      <c r="A72" s="348" t="s">
        <v>152</v>
      </c>
      <c r="B72" s="350"/>
      <c r="C72" s="46"/>
      <c r="D72" s="19">
        <f>D34</f>
        <v>338.58000000000004</v>
      </c>
      <c r="E72" s="19">
        <v>0.2</v>
      </c>
      <c r="F72" s="19">
        <v>2</v>
      </c>
      <c r="G72" s="19">
        <v>1</v>
      </c>
      <c r="H72" s="46">
        <f>D72*E72*F72</f>
        <v>135.43200000000002</v>
      </c>
      <c r="I72" s="133">
        <f>G72*H72</f>
        <v>135.43200000000002</v>
      </c>
      <c r="J72" s="30"/>
    </row>
    <row r="73" spans="1:14" ht="12" customHeight="1" x14ac:dyDescent="0.2">
      <c r="A73" s="472" t="s">
        <v>57</v>
      </c>
      <c r="B73" s="460"/>
      <c r="C73" s="460"/>
      <c r="D73" s="460"/>
      <c r="E73" s="460"/>
      <c r="F73" s="460"/>
      <c r="G73" s="460"/>
      <c r="H73" s="462"/>
      <c r="I73" s="20">
        <f>ROUND(SUM(I72:I72),2)</f>
        <v>135.43</v>
      </c>
      <c r="J73" s="31"/>
    </row>
    <row r="74" spans="1:14" s="270" customFormat="1" ht="12" customHeight="1" x14ac:dyDescent="0.2">
      <c r="B74" s="271"/>
      <c r="C74" s="271"/>
      <c r="D74" s="271"/>
      <c r="E74" s="271"/>
      <c r="F74" s="271"/>
      <c r="G74" s="271"/>
      <c r="H74" s="271"/>
      <c r="I74" s="271"/>
      <c r="J74" s="273"/>
      <c r="K74" s="271"/>
      <c r="L74" s="271"/>
      <c r="M74" s="271"/>
      <c r="N74" s="271"/>
    </row>
    <row r="75" spans="1:14" ht="13.5" customHeight="1" x14ac:dyDescent="0.2">
      <c r="A75" s="29" t="s">
        <v>116</v>
      </c>
      <c r="B75" s="58" t="s">
        <v>186</v>
      </c>
      <c r="C75" s="493"/>
      <c r="D75" s="478" t="str">
        <f>PLANILHA!D35</f>
        <v>CONCRETO FCK = 30MPA, TRAÇO 1:2,1:2,5 (CIMENTO/ AREIA MÉDIA/ BRITA 1)- PREPARO MECÂNICO COM BETONEIRA 400 L. AF_07/2016</v>
      </c>
      <c r="E75" s="479"/>
      <c r="F75" s="479"/>
      <c r="G75" s="479"/>
      <c r="H75" s="479"/>
      <c r="I75" s="479"/>
      <c r="J75" s="480"/>
    </row>
    <row r="76" spans="1:14" ht="13.5" customHeight="1" x14ac:dyDescent="0.2">
      <c r="A76" s="29" t="s">
        <v>49</v>
      </c>
      <c r="B76" s="59"/>
      <c r="C76" s="494"/>
      <c r="D76" s="481"/>
      <c r="E76" s="482"/>
      <c r="F76" s="482"/>
      <c r="G76" s="482"/>
      <c r="H76" s="482"/>
      <c r="I76" s="482"/>
      <c r="J76" s="483"/>
    </row>
    <row r="77" spans="1:14" ht="24.75" customHeight="1" x14ac:dyDescent="0.2">
      <c r="A77" s="469" t="s">
        <v>50</v>
      </c>
      <c r="B77" s="473"/>
      <c r="C77" s="124" t="s">
        <v>234</v>
      </c>
      <c r="D77" s="8" t="s">
        <v>127</v>
      </c>
      <c r="E77" s="9"/>
      <c r="F77" s="9"/>
      <c r="G77" s="9" t="s">
        <v>54</v>
      </c>
      <c r="H77" s="46"/>
      <c r="I77" s="9" t="s">
        <v>139</v>
      </c>
      <c r="J77" s="30" t="s">
        <v>56</v>
      </c>
    </row>
    <row r="78" spans="1:14" x14ac:dyDescent="0.2">
      <c r="A78" s="375" t="s">
        <v>142</v>
      </c>
      <c r="B78" s="286"/>
      <c r="C78" s="158" t="s">
        <v>231</v>
      </c>
      <c r="D78" s="157">
        <f>0.6*0.6*0.25</f>
        <v>0.09</v>
      </c>
      <c r="E78" s="19"/>
      <c r="F78" s="19"/>
      <c r="G78" s="19">
        <f>G66</f>
        <v>112</v>
      </c>
      <c r="H78" s="46"/>
      <c r="I78" s="16">
        <f>D78*G78</f>
        <v>10.08</v>
      </c>
      <c r="J78" s="31"/>
      <c r="K78" s="47"/>
    </row>
    <row r="79" spans="1:14" x14ac:dyDescent="0.2">
      <c r="A79" s="375" t="s">
        <v>175</v>
      </c>
      <c r="B79" s="286"/>
      <c r="C79" s="158" t="s">
        <v>232</v>
      </c>
      <c r="D79" s="157">
        <f>0.26*0.14*0.75</f>
        <v>2.7300000000000001E-2</v>
      </c>
      <c r="E79" s="19"/>
      <c r="F79" s="19"/>
      <c r="G79" s="19">
        <f>G66</f>
        <v>112</v>
      </c>
      <c r="H79" s="46"/>
      <c r="I79" s="16">
        <f t="shared" ref="I79:I80" si="5">D79*G79</f>
        <v>3.0576000000000003</v>
      </c>
      <c r="J79" s="31"/>
    </row>
    <row r="80" spans="1:14" x14ac:dyDescent="0.2">
      <c r="A80" s="375" t="s">
        <v>152</v>
      </c>
      <c r="B80" s="286"/>
      <c r="C80" s="158" t="s">
        <v>235</v>
      </c>
      <c r="D80" s="157">
        <f>339.58*0.3*0.2</f>
        <v>20.3748</v>
      </c>
      <c r="E80" s="19"/>
      <c r="F80" s="19"/>
      <c r="G80" s="19">
        <v>1</v>
      </c>
      <c r="H80" s="46"/>
      <c r="I80" s="16">
        <f t="shared" si="5"/>
        <v>20.3748</v>
      </c>
      <c r="J80" s="31"/>
    </row>
    <row r="81" spans="1:14" ht="12" customHeight="1" x14ac:dyDescent="0.2">
      <c r="A81" s="472" t="s">
        <v>57</v>
      </c>
      <c r="B81" s="460"/>
      <c r="C81" s="461"/>
      <c r="D81" s="460"/>
      <c r="E81" s="460"/>
      <c r="F81" s="460"/>
      <c r="G81" s="460"/>
      <c r="H81" s="462"/>
      <c r="I81" s="20">
        <f>ROUND(SUM(I78:I80),2)</f>
        <v>33.51</v>
      </c>
      <c r="J81" s="31"/>
    </row>
    <row r="82" spans="1:14" s="272" customFormat="1" ht="12" customHeight="1" thickBot="1" x14ac:dyDescent="0.25">
      <c r="A82" s="270"/>
      <c r="B82" s="271"/>
      <c r="C82" s="271"/>
      <c r="D82" s="271"/>
      <c r="E82" s="271"/>
      <c r="F82" s="271"/>
      <c r="G82" s="271"/>
      <c r="H82" s="271"/>
      <c r="I82" s="271"/>
      <c r="J82" s="273"/>
      <c r="K82" s="271"/>
      <c r="L82" s="271"/>
      <c r="M82" s="271"/>
      <c r="N82" s="271"/>
    </row>
    <row r="83" spans="1:14" ht="12" customHeight="1" x14ac:dyDescent="0.2">
      <c r="A83" s="526" t="s">
        <v>187</v>
      </c>
      <c r="B83" s="527"/>
      <c r="C83" s="527"/>
      <c r="D83" s="527"/>
      <c r="E83" s="527"/>
      <c r="F83" s="527"/>
      <c r="G83" s="527"/>
      <c r="H83" s="527"/>
      <c r="I83" s="527"/>
      <c r="J83" s="528"/>
    </row>
    <row r="84" spans="1:14" customFormat="1" ht="12" customHeight="1" x14ac:dyDescent="0.2">
      <c r="A84" s="51"/>
      <c r="J84" s="52"/>
    </row>
    <row r="85" spans="1:14" ht="13.5" customHeight="1" x14ac:dyDescent="0.2">
      <c r="A85" s="29" t="s">
        <v>116</v>
      </c>
      <c r="B85" s="151" t="s">
        <v>42</v>
      </c>
      <c r="C85" s="493"/>
      <c r="D85" s="478" t="str">
        <f>D69</f>
        <v xml:space="preserve">FORMA E DESFORMA DE COMPENSADO PLASTIFICADO, ESP.
12MM, REAPROVEITAMENTO (5X), EXCLUSIVE ESCORAMENTO </v>
      </c>
      <c r="E85" s="479"/>
      <c r="F85" s="479"/>
      <c r="G85" s="479"/>
      <c r="H85" s="479"/>
      <c r="I85" s="479"/>
      <c r="J85" s="480"/>
    </row>
    <row r="86" spans="1:14" ht="13.5" customHeight="1" x14ac:dyDescent="0.2">
      <c r="A86" s="29" t="s">
        <v>49</v>
      </c>
      <c r="B86" s="59"/>
      <c r="C86" s="494"/>
      <c r="D86" s="481"/>
      <c r="E86" s="482"/>
      <c r="F86" s="482"/>
      <c r="G86" s="482"/>
      <c r="H86" s="482"/>
      <c r="I86" s="482"/>
      <c r="J86" s="483"/>
    </row>
    <row r="87" spans="1:14" ht="12" customHeight="1" x14ac:dyDescent="0.2">
      <c r="A87" s="469" t="s">
        <v>50</v>
      </c>
      <c r="B87" s="473"/>
      <c r="C87" s="46"/>
      <c r="D87" s="8" t="s">
        <v>51</v>
      </c>
      <c r="E87" s="9" t="s">
        <v>52</v>
      </c>
      <c r="F87" s="9" t="s">
        <v>128</v>
      </c>
      <c r="G87" s="9" t="s">
        <v>54</v>
      </c>
      <c r="H87" s="9" t="s">
        <v>125</v>
      </c>
      <c r="I87" s="9" t="s">
        <v>156</v>
      </c>
      <c r="J87" s="30" t="s">
        <v>56</v>
      </c>
    </row>
    <row r="88" spans="1:14" x14ac:dyDescent="0.2">
      <c r="A88" s="375" t="s">
        <v>168</v>
      </c>
      <c r="B88" s="287"/>
      <c r="C88" s="152" t="s">
        <v>233</v>
      </c>
      <c r="D88" s="19">
        <v>1.5</v>
      </c>
      <c r="E88" s="19">
        <v>0.26</v>
      </c>
      <c r="F88" s="19">
        <v>2</v>
      </c>
      <c r="G88" s="19">
        <f>G78</f>
        <v>112</v>
      </c>
      <c r="H88" s="19">
        <f>D88*E88*F88</f>
        <v>0.78</v>
      </c>
      <c r="I88" s="16">
        <f>H88*G88</f>
        <v>87.36</v>
      </c>
      <c r="J88" s="31"/>
      <c r="K88" s="47"/>
    </row>
    <row r="89" spans="1:14" x14ac:dyDescent="0.2">
      <c r="A89" s="375" t="s">
        <v>197</v>
      </c>
      <c r="B89" s="287"/>
      <c r="C89" s="152" t="s">
        <v>233</v>
      </c>
      <c r="D89" s="19">
        <v>1.5</v>
      </c>
      <c r="E89" s="19">
        <v>0.14000000000000001</v>
      </c>
      <c r="F89" s="19">
        <v>2</v>
      </c>
      <c r="G89" s="19">
        <f>G88</f>
        <v>112</v>
      </c>
      <c r="H89" s="19">
        <f>D89*E89*F89</f>
        <v>0.42000000000000004</v>
      </c>
      <c r="I89" s="16">
        <f>H89*G89</f>
        <v>47.040000000000006</v>
      </c>
      <c r="J89" s="31"/>
      <c r="K89" s="47"/>
    </row>
    <row r="90" spans="1:14" ht="12" customHeight="1" x14ac:dyDescent="0.2">
      <c r="A90" s="472" t="s">
        <v>57</v>
      </c>
      <c r="B90" s="460"/>
      <c r="C90" s="460"/>
      <c r="D90" s="460"/>
      <c r="E90" s="460"/>
      <c r="F90" s="460"/>
      <c r="G90" s="460"/>
      <c r="H90" s="462"/>
      <c r="I90" s="20">
        <f>ROUND(SUM(I88:I89),2)</f>
        <v>134.4</v>
      </c>
      <c r="J90" s="31"/>
    </row>
    <row r="91" spans="1:14" customFormat="1" ht="12" customHeight="1" x14ac:dyDescent="0.2">
      <c r="A91" s="51"/>
      <c r="J91" s="52"/>
    </row>
    <row r="92" spans="1:14" customFormat="1" ht="12" customHeight="1" x14ac:dyDescent="0.2">
      <c r="A92" s="51"/>
      <c r="J92" s="52"/>
    </row>
    <row r="93" spans="1:14" s="166" customFormat="1" ht="12.75" customHeight="1" x14ac:dyDescent="0.2">
      <c r="A93" s="136" t="s">
        <v>109</v>
      </c>
      <c r="B93" s="137" t="s">
        <v>117</v>
      </c>
      <c r="C93" s="145"/>
      <c r="D93" s="518" t="str">
        <f>PLANILHA!D39</f>
        <v>CONCRETO FCK = 25MPA, TRAÇO 1:2,3:2,7 (CIMENTO/ AREIA MÉDIA/ BRITA 1) - PREPARO MECÂNICO COM BETONEIRA 400 L. AF_07/2016</v>
      </c>
      <c r="E93" s="519"/>
      <c r="F93" s="519"/>
      <c r="G93" s="519"/>
      <c r="H93" s="519"/>
      <c r="I93" s="519"/>
      <c r="J93" s="520"/>
    </row>
    <row r="94" spans="1:14" s="166" customFormat="1" ht="12.75" x14ac:dyDescent="0.2">
      <c r="A94" s="136" t="s">
        <v>49</v>
      </c>
      <c r="B94" s="146"/>
      <c r="C94" s="147"/>
      <c r="D94" s="521"/>
      <c r="E94" s="522"/>
      <c r="F94" s="522"/>
      <c r="G94" s="522"/>
      <c r="H94" s="522"/>
      <c r="I94" s="522"/>
      <c r="J94" s="523"/>
    </row>
    <row r="95" spans="1:14" s="166" customFormat="1" ht="12.75" x14ac:dyDescent="0.2">
      <c r="A95" s="496" t="s">
        <v>157</v>
      </c>
      <c r="B95" s="497"/>
      <c r="C95" s="253"/>
      <c r="D95" s="500" t="s">
        <v>51</v>
      </c>
      <c r="E95" s="500" t="s">
        <v>158</v>
      </c>
      <c r="F95" s="500" t="s">
        <v>155</v>
      </c>
      <c r="G95" s="500" t="s">
        <v>54</v>
      </c>
      <c r="H95" s="529" t="s">
        <v>159</v>
      </c>
      <c r="I95" s="531" t="s">
        <v>160</v>
      </c>
      <c r="J95" s="49" t="s">
        <v>56</v>
      </c>
    </row>
    <row r="96" spans="1:14" s="166" customFormat="1" ht="12.75" x14ac:dyDescent="0.2">
      <c r="A96" s="498"/>
      <c r="B96" s="499"/>
      <c r="C96" s="254"/>
      <c r="D96" s="501"/>
      <c r="E96" s="501"/>
      <c r="F96" s="501"/>
      <c r="G96" s="501"/>
      <c r="H96" s="530"/>
      <c r="I96" s="532"/>
      <c r="J96" s="267"/>
    </row>
    <row r="97" spans="1:10" s="166" customFormat="1" ht="12.75" x14ac:dyDescent="0.2">
      <c r="A97" s="533" t="s">
        <v>154</v>
      </c>
      <c r="B97" s="534"/>
      <c r="C97" s="148"/>
      <c r="D97" s="19">
        <v>1.5</v>
      </c>
      <c r="E97" s="19">
        <v>0.26</v>
      </c>
      <c r="F97" s="19">
        <v>0.14000000000000001</v>
      </c>
      <c r="G97" s="19">
        <v>112</v>
      </c>
      <c r="H97" s="19">
        <f>ROUND((D97*F97*E97),2)</f>
        <v>0.05</v>
      </c>
      <c r="I97" s="164">
        <f t="shared" ref="I97" si="6">ROUND((H97*G97),2)</f>
        <v>5.6</v>
      </c>
      <c r="J97" s="267"/>
    </row>
    <row r="98" spans="1:10" ht="12" customHeight="1" x14ac:dyDescent="0.2">
      <c r="A98" s="472" t="s">
        <v>57</v>
      </c>
      <c r="B98" s="460"/>
      <c r="C98" s="460"/>
      <c r="D98" s="460"/>
      <c r="E98" s="460"/>
      <c r="F98" s="460"/>
      <c r="G98" s="460"/>
      <c r="H98" s="462"/>
      <c r="I98" s="20">
        <f>ROUND(SUM(I97:I97),2)</f>
        <v>5.6</v>
      </c>
      <c r="J98" s="135"/>
    </row>
    <row r="99" spans="1:10" customFormat="1" ht="12" customHeight="1" x14ac:dyDescent="0.2">
      <c r="A99" s="51"/>
      <c r="J99" s="52"/>
    </row>
    <row r="100" spans="1:10" s="166" customFormat="1" ht="12.75" customHeight="1" x14ac:dyDescent="0.2">
      <c r="A100" s="136" t="s">
        <v>109</v>
      </c>
      <c r="B100" s="137" t="s">
        <v>105</v>
      </c>
      <c r="C100" s="145"/>
      <c r="D100" s="518" t="str">
        <f>PLANILHA!D40</f>
        <v>CORTE E DOBRA DE AÇO CA-60, DIÂMETRO DE 5,0 MM, UTILIZADO EM ESTRUTURA DIVERSAS, EXCETO LAJES. AF_12/2015</v>
      </c>
      <c r="E100" s="519"/>
      <c r="F100" s="519"/>
      <c r="G100" s="519"/>
      <c r="H100" s="519"/>
      <c r="I100" s="519"/>
      <c r="J100" s="520"/>
    </row>
    <row r="101" spans="1:10" s="166" customFormat="1" ht="12.75" x14ac:dyDescent="0.2">
      <c r="A101" s="136" t="s">
        <v>49</v>
      </c>
      <c r="B101" s="149"/>
      <c r="C101" s="147"/>
      <c r="D101" s="521"/>
      <c r="E101" s="522"/>
      <c r="F101" s="522"/>
      <c r="G101" s="522"/>
      <c r="H101" s="522"/>
      <c r="I101" s="522"/>
      <c r="J101" s="523"/>
    </row>
    <row r="102" spans="1:10" s="166" customFormat="1" ht="12.75" x14ac:dyDescent="0.2">
      <c r="A102" s="496" t="s">
        <v>157</v>
      </c>
      <c r="B102" s="497"/>
      <c r="C102" s="253"/>
      <c r="E102" s="500" t="s">
        <v>161</v>
      </c>
      <c r="F102" s="500" t="s">
        <v>54</v>
      </c>
      <c r="G102" s="500"/>
      <c r="H102" s="529"/>
      <c r="I102" s="531" t="s">
        <v>129</v>
      </c>
      <c r="J102" s="162" t="s">
        <v>56</v>
      </c>
    </row>
    <row r="103" spans="1:10" s="166" customFormat="1" ht="12.75" x14ac:dyDescent="0.2">
      <c r="A103" s="498"/>
      <c r="B103" s="499"/>
      <c r="C103" s="254"/>
      <c r="E103" s="501"/>
      <c r="F103" s="501"/>
      <c r="G103" s="501"/>
      <c r="H103" s="530"/>
      <c r="I103" s="530"/>
      <c r="J103" s="268"/>
    </row>
    <row r="104" spans="1:10" x14ac:dyDescent="0.2">
      <c r="A104" s="375" t="s">
        <v>147</v>
      </c>
      <c r="B104" s="287"/>
      <c r="C104" s="46"/>
      <c r="D104" s="19"/>
      <c r="E104" s="19">
        <v>120.74</v>
      </c>
      <c r="F104" s="19">
        <v>1</v>
      </c>
      <c r="G104" s="19"/>
      <c r="H104" s="46"/>
      <c r="I104" s="163">
        <f>E104*F104</f>
        <v>120.74</v>
      </c>
      <c r="J104" s="31"/>
    </row>
    <row r="105" spans="1:10" ht="12" customHeight="1" x14ac:dyDescent="0.2">
      <c r="A105" s="472" t="s">
        <v>57</v>
      </c>
      <c r="B105" s="460"/>
      <c r="C105" s="460"/>
      <c r="D105" s="460"/>
      <c r="E105" s="460"/>
      <c r="F105" s="460"/>
      <c r="G105" s="460"/>
      <c r="H105" s="462"/>
      <c r="I105" s="20">
        <f>ROUND(SUM(I104:I104),2)</f>
        <v>120.74</v>
      </c>
      <c r="J105" s="31"/>
    </row>
    <row r="106" spans="1:10" customFormat="1" ht="12" customHeight="1" x14ac:dyDescent="0.2">
      <c r="A106" s="51"/>
      <c r="J106" s="52"/>
    </row>
    <row r="107" spans="1:10" s="166" customFormat="1" ht="12.75" customHeight="1" x14ac:dyDescent="0.2">
      <c r="A107" s="136" t="s">
        <v>109</v>
      </c>
      <c r="B107" s="137" t="s">
        <v>106</v>
      </c>
      <c r="C107" s="145"/>
      <c r="D107" s="518" t="str">
        <f>PLANILHA!D41</f>
        <v>CORTE E DOBRA DE AÇO CA-50, DIÂMETRO DE 10,0 MM, UTILIZADO EM ESTRUTURAS DIVERSAS, EXCETO LAJES. AF_12/2015</v>
      </c>
      <c r="E107" s="519"/>
      <c r="F107" s="519"/>
      <c r="G107" s="519"/>
      <c r="H107" s="519"/>
      <c r="I107" s="519"/>
      <c r="J107" s="520"/>
    </row>
    <row r="108" spans="1:10" s="166" customFormat="1" ht="12.75" x14ac:dyDescent="0.2">
      <c r="A108" s="136" t="s">
        <v>49</v>
      </c>
      <c r="B108" s="149"/>
      <c r="C108" s="147"/>
      <c r="D108" s="521"/>
      <c r="E108" s="522"/>
      <c r="F108" s="522"/>
      <c r="G108" s="522"/>
      <c r="H108" s="522"/>
      <c r="I108" s="522"/>
      <c r="J108" s="523"/>
    </row>
    <row r="109" spans="1:10" s="166" customFormat="1" ht="12.75" x14ac:dyDescent="0.2">
      <c r="A109" s="496" t="s">
        <v>157</v>
      </c>
      <c r="B109" s="497"/>
      <c r="C109" s="253"/>
      <c r="D109" s="500" t="s">
        <v>163</v>
      </c>
      <c r="E109" s="529"/>
      <c r="F109" s="500" t="s">
        <v>54</v>
      </c>
      <c r="G109" s="500"/>
      <c r="H109" s="529"/>
      <c r="I109" s="531" t="s">
        <v>129</v>
      </c>
      <c r="J109" s="268"/>
    </row>
    <row r="110" spans="1:10" s="166" customFormat="1" ht="12.75" x14ac:dyDescent="0.2">
      <c r="A110" s="498"/>
      <c r="B110" s="499"/>
      <c r="C110" s="254"/>
      <c r="D110" s="501"/>
      <c r="E110" s="530"/>
      <c r="F110" s="501"/>
      <c r="G110" s="501"/>
      <c r="H110" s="530"/>
      <c r="I110" s="530"/>
      <c r="J110" s="268"/>
    </row>
    <row r="111" spans="1:10" s="166" customFormat="1" ht="12.75" x14ac:dyDescent="0.2">
      <c r="A111" s="524" t="s">
        <v>143</v>
      </c>
      <c r="B111" s="525"/>
      <c r="C111"/>
      <c r="D111" s="19">
        <v>414.65</v>
      </c>
      <c r="E111" s="252"/>
      <c r="F111" s="19">
        <v>1</v>
      </c>
      <c r="G111" s="251"/>
      <c r="H111" s="252"/>
      <c r="I111" s="161">
        <f>D111</f>
        <v>414.65</v>
      </c>
      <c r="J111" s="268"/>
    </row>
    <row r="112" spans="1:10" ht="12" customHeight="1" x14ac:dyDescent="0.2">
      <c r="A112" s="472" t="s">
        <v>57</v>
      </c>
      <c r="B112" s="460"/>
      <c r="C112" s="460"/>
      <c r="D112" s="460"/>
      <c r="E112" s="460"/>
      <c r="F112" s="460"/>
      <c r="G112" s="460"/>
      <c r="H112" s="462"/>
      <c r="I112" s="20">
        <f>ROUND(SUM(I111),2)</f>
        <v>414.65</v>
      </c>
      <c r="J112" s="31"/>
    </row>
    <row r="113" spans="1:10" ht="12" customHeight="1" x14ac:dyDescent="0.2">
      <c r="A113" s="456"/>
      <c r="B113" s="457"/>
      <c r="C113" s="457"/>
      <c r="D113" s="535"/>
      <c r="E113" s="535"/>
      <c r="F113" s="535"/>
      <c r="G113" s="535"/>
      <c r="H113" s="535"/>
      <c r="I113" s="535"/>
      <c r="J113" s="269"/>
    </row>
    <row r="114" spans="1:10" s="166" customFormat="1" ht="12.75" customHeight="1" x14ac:dyDescent="0.2">
      <c r="A114" s="136" t="s">
        <v>109</v>
      </c>
      <c r="B114" s="137" t="s">
        <v>114</v>
      </c>
      <c r="C114" s="145"/>
      <c r="D114" s="518" t="str">
        <f>PLANILHA!D42</f>
        <v xml:space="preserve">ALVENARIA DE VEDAÇÃO COM TIJOLO CERÂMICO FURADO, ESP.
14CM, PARA REVESTIMENTO, INCLUSIVE ARGAMASSA PARA
ASSENTAMENTO
</v>
      </c>
      <c r="E114" s="519"/>
      <c r="F114" s="519"/>
      <c r="G114" s="519"/>
      <c r="H114" s="519"/>
      <c r="I114" s="519"/>
      <c r="J114" s="520"/>
    </row>
    <row r="115" spans="1:10" s="166" customFormat="1" ht="12.75" x14ac:dyDescent="0.2">
      <c r="A115" s="136" t="s">
        <v>49</v>
      </c>
      <c r="B115" s="149"/>
      <c r="C115" s="147"/>
      <c r="D115" s="521"/>
      <c r="E115" s="522"/>
      <c r="F115" s="522"/>
      <c r="G115" s="522"/>
      <c r="H115" s="522"/>
      <c r="I115" s="522"/>
      <c r="J115" s="523"/>
    </row>
    <row r="116" spans="1:10" s="166" customFormat="1" ht="12.75" customHeight="1" x14ac:dyDescent="0.2">
      <c r="A116" s="496" t="s">
        <v>157</v>
      </c>
      <c r="B116" s="497"/>
      <c r="C116" s="500" t="s">
        <v>236</v>
      </c>
      <c r="D116" s="500" t="s">
        <v>169</v>
      </c>
      <c r="E116" s="529" t="s">
        <v>170</v>
      </c>
      <c r="F116" s="500" t="s">
        <v>54</v>
      </c>
      <c r="G116" s="500" t="s">
        <v>180</v>
      </c>
      <c r="H116" s="529" t="s">
        <v>171</v>
      </c>
      <c r="I116" s="531" t="s">
        <v>166</v>
      </c>
      <c r="J116" s="268"/>
    </row>
    <row r="117" spans="1:10" s="166" customFormat="1" ht="12.75" x14ac:dyDescent="0.2">
      <c r="A117" s="498"/>
      <c r="B117" s="499"/>
      <c r="C117" s="501"/>
      <c r="D117" s="501"/>
      <c r="E117" s="530"/>
      <c r="F117" s="501"/>
      <c r="G117" s="501"/>
      <c r="H117" s="530"/>
      <c r="I117" s="530"/>
      <c r="J117" s="268"/>
    </row>
    <row r="118" spans="1:10" s="166" customFormat="1" ht="15.75" customHeight="1" x14ac:dyDescent="0.2">
      <c r="A118" s="454" t="s">
        <v>167</v>
      </c>
      <c r="B118" s="455"/>
      <c r="C118" s="223" t="s">
        <v>243</v>
      </c>
      <c r="D118" s="19">
        <v>338.58</v>
      </c>
      <c r="E118" s="19">
        <v>1.5</v>
      </c>
      <c r="F118" s="19"/>
      <c r="G118" s="19">
        <f xml:space="preserve"> 0.26*1.5*112</f>
        <v>43.68</v>
      </c>
      <c r="H118" s="19">
        <f>D118*E118</f>
        <v>507.87</v>
      </c>
      <c r="I118" s="160">
        <f>H118-G118</f>
        <v>464.19</v>
      </c>
      <c r="J118" s="268"/>
    </row>
    <row r="119" spans="1:10" ht="12" customHeight="1" x14ac:dyDescent="0.2">
      <c r="A119" s="459"/>
      <c r="B119" s="460"/>
      <c r="C119" s="461"/>
      <c r="D119" s="460"/>
      <c r="E119" s="460"/>
      <c r="F119" s="460"/>
      <c r="G119" s="460"/>
      <c r="H119" s="462"/>
      <c r="I119" s="20">
        <f>I118</f>
        <v>464.19</v>
      </c>
      <c r="J119" s="31"/>
    </row>
    <row r="120" spans="1:10" ht="12" customHeight="1" x14ac:dyDescent="0.2">
      <c r="A120" s="456"/>
      <c r="B120" s="457"/>
      <c r="C120" s="457"/>
      <c r="D120" s="457"/>
      <c r="E120" s="457"/>
      <c r="F120" s="457"/>
      <c r="G120" s="457"/>
      <c r="H120" s="457"/>
      <c r="I120" s="457"/>
      <c r="J120" s="458"/>
    </row>
    <row r="121" spans="1:10" s="225" customFormat="1" ht="26.25" customHeight="1" x14ac:dyDescent="0.2">
      <c r="A121" s="262" t="s">
        <v>244</v>
      </c>
      <c r="B121" s="224" t="s">
        <v>247</v>
      </c>
      <c r="C121" s="463" t="s">
        <v>257</v>
      </c>
      <c r="D121" s="464"/>
      <c r="E121" s="464"/>
      <c r="F121" s="464"/>
      <c r="G121" s="464"/>
      <c r="H121" s="464"/>
      <c r="I121" s="464"/>
      <c r="J121" s="465"/>
    </row>
    <row r="122" spans="1:10" s="226" customFormat="1" ht="12.75" customHeight="1" x14ac:dyDescent="0.25">
      <c r="A122" s="466"/>
      <c r="B122" s="467"/>
      <c r="C122" s="467"/>
      <c r="D122" s="467"/>
      <c r="E122" s="467"/>
      <c r="F122" s="467"/>
      <c r="G122" s="467"/>
      <c r="H122" s="467"/>
      <c r="I122" s="467"/>
      <c r="J122" s="468"/>
    </row>
    <row r="123" spans="1:10" s="226" customFormat="1" ht="15.75" customHeight="1" x14ac:dyDescent="0.25">
      <c r="A123" s="259" t="s">
        <v>109</v>
      </c>
      <c r="B123" s="228"/>
      <c r="C123" s="227"/>
      <c r="D123" s="447" t="str">
        <f>PLANILHA!D45</f>
        <v>PORTÃO DE FERRO PADRÃO, EM CHAPA (TIPO LAMBRI), COLOCADO COM CADEADO</v>
      </c>
      <c r="E123" s="447"/>
      <c r="F123" s="447"/>
      <c r="G123" s="447"/>
      <c r="H123" s="447"/>
      <c r="I123" s="447"/>
      <c r="J123" s="448"/>
    </row>
    <row r="124" spans="1:10" s="226" customFormat="1" ht="13.5" customHeight="1" x14ac:dyDescent="0.25">
      <c r="A124" s="259" t="s">
        <v>49</v>
      </c>
      <c r="B124" s="229"/>
      <c r="C124" s="230"/>
      <c r="D124" s="447"/>
      <c r="E124" s="447"/>
      <c r="F124" s="447"/>
      <c r="G124" s="447"/>
      <c r="H124" s="447"/>
      <c r="I124" s="447"/>
      <c r="J124" s="448"/>
    </row>
    <row r="125" spans="1:10" s="226" customFormat="1" ht="22.5" customHeight="1" x14ac:dyDescent="0.25">
      <c r="A125" s="449"/>
      <c r="B125" s="450"/>
      <c r="C125" s="247"/>
      <c r="D125" s="451" t="s">
        <v>51</v>
      </c>
      <c r="E125" s="451" t="s">
        <v>52</v>
      </c>
      <c r="F125" s="246" t="s">
        <v>54</v>
      </c>
      <c r="G125" s="452" t="s">
        <v>245</v>
      </c>
      <c r="H125" s="452"/>
      <c r="I125" s="452" t="s">
        <v>246</v>
      </c>
      <c r="J125" s="453" t="s">
        <v>151</v>
      </c>
    </row>
    <row r="126" spans="1:10" s="226" customFormat="1" ht="3.75" hidden="1" customHeight="1" x14ac:dyDescent="0.25">
      <c r="A126" s="449"/>
      <c r="B126" s="450"/>
      <c r="C126" s="247"/>
      <c r="D126" s="451"/>
      <c r="E126" s="451"/>
      <c r="F126" s="246"/>
      <c r="G126" s="452"/>
      <c r="H126" s="452"/>
      <c r="I126" s="452"/>
      <c r="J126" s="453"/>
    </row>
    <row r="127" spans="1:10" s="226" customFormat="1" ht="13.5" customHeight="1" x14ac:dyDescent="0.2">
      <c r="A127" s="442"/>
      <c r="B127" s="443"/>
      <c r="C127" s="231"/>
      <c r="D127" s="232">
        <v>3</v>
      </c>
      <c r="E127" s="232">
        <v>1.5</v>
      </c>
      <c r="F127" s="232">
        <v>1</v>
      </c>
      <c r="G127" s="232">
        <f>D127*E127</f>
        <v>4.5</v>
      </c>
      <c r="H127" s="232"/>
      <c r="I127" s="232">
        <f>G127*F127</f>
        <v>4.5</v>
      </c>
      <c r="J127" s="261"/>
    </row>
    <row r="128" spans="1:10" s="226" customFormat="1" ht="12.75" customHeight="1" x14ac:dyDescent="0.25">
      <c r="A128" s="444" t="s">
        <v>57</v>
      </c>
      <c r="B128" s="445"/>
      <c r="C128" s="245"/>
      <c r="D128" s="233"/>
      <c r="E128" s="233"/>
      <c r="F128" s="234"/>
      <c r="G128" s="234"/>
      <c r="H128" s="236"/>
      <c r="I128" s="235">
        <f>SUM(I127:I127)</f>
        <v>4.5</v>
      </c>
      <c r="J128" s="260"/>
    </row>
    <row r="129" spans="1:10" s="226" customFormat="1" ht="15" x14ac:dyDescent="0.25">
      <c r="A129" s="444"/>
      <c r="B129" s="445"/>
      <c r="C129" s="445"/>
      <c r="D129" s="445"/>
      <c r="E129" s="445"/>
      <c r="F129" s="445"/>
      <c r="G129" s="445"/>
      <c r="H129" s="445"/>
      <c r="I129" s="445"/>
      <c r="J129" s="446"/>
    </row>
    <row r="130" spans="1:10" x14ac:dyDescent="0.2">
      <c r="A130" s="54"/>
      <c r="J130" s="55"/>
    </row>
    <row r="131" spans="1:10" x14ac:dyDescent="0.2">
      <c r="A131" s="54"/>
      <c r="G131" s="539"/>
      <c r="H131" s="539"/>
      <c r="I131" s="539"/>
      <c r="J131" s="55"/>
    </row>
    <row r="132" spans="1:10" ht="45" customHeight="1" x14ac:dyDescent="0.2">
      <c r="A132" s="538" t="s">
        <v>255</v>
      </c>
      <c r="B132" s="539"/>
      <c r="C132" s="539"/>
      <c r="G132" s="539" t="s">
        <v>256</v>
      </c>
      <c r="H132" s="539"/>
      <c r="I132" s="539"/>
      <c r="J132" s="55"/>
    </row>
    <row r="133" spans="1:10" x14ac:dyDescent="0.2">
      <c r="A133" s="538" t="str">
        <f>CRONOGRAMA!H26</f>
        <v>PREFEITURA MUNICIPAL DE JAPONVAR / MG</v>
      </c>
      <c r="B133" s="539"/>
      <c r="C133" s="539"/>
      <c r="G133" s="539" t="str">
        <f>CRONOGRAMA!T26</f>
        <v>GABRIEL VINICIUS MARTINS</v>
      </c>
      <c r="H133" s="539"/>
      <c r="I133" s="539"/>
      <c r="J133" s="55"/>
    </row>
    <row r="134" spans="1:10" x14ac:dyDescent="0.2">
      <c r="A134" s="538"/>
      <c r="B134" s="539"/>
      <c r="C134" s="539"/>
      <c r="G134" s="539" t="str">
        <f>CRONOGRAMA!T27</f>
        <v>ENGENHEIRO CIVIL - CREA MG 230779/D</v>
      </c>
      <c r="H134" s="539"/>
      <c r="I134" s="539"/>
      <c r="J134" s="55"/>
    </row>
    <row r="135" spans="1:10" x14ac:dyDescent="0.2">
      <c r="A135" s="54"/>
      <c r="J135" s="55"/>
    </row>
    <row r="136" spans="1:10" x14ac:dyDescent="0.2">
      <c r="A136" s="54"/>
      <c r="B136" s="45"/>
      <c r="J136" s="55"/>
    </row>
    <row r="137" spans="1:10" x14ac:dyDescent="0.2">
      <c r="A137" s="54"/>
      <c r="B137" s="45"/>
      <c r="J137" s="55"/>
    </row>
    <row r="138" spans="1:10" ht="12.75" thickBot="1" x14ac:dyDescent="0.25">
      <c r="A138" s="263"/>
      <c r="B138" s="264"/>
      <c r="C138" s="265"/>
      <c r="D138" s="265"/>
      <c r="E138" s="265"/>
      <c r="F138" s="265"/>
      <c r="G138" s="265"/>
      <c r="H138" s="265"/>
      <c r="I138" s="265"/>
      <c r="J138" s="266"/>
    </row>
  </sheetData>
  <mergeCells count="152">
    <mergeCell ref="A132:C132"/>
    <mergeCell ref="A133:C133"/>
    <mergeCell ref="A134:C134"/>
    <mergeCell ref="G131:I131"/>
    <mergeCell ref="G132:I132"/>
    <mergeCell ref="G133:I133"/>
    <mergeCell ref="G134:I134"/>
    <mergeCell ref="E102:E103"/>
    <mergeCell ref="E109:E110"/>
    <mergeCell ref="F109:F110"/>
    <mergeCell ref="G109:G110"/>
    <mergeCell ref="H109:H110"/>
    <mergeCell ref="I109:I110"/>
    <mergeCell ref="G116:G117"/>
    <mergeCell ref="H116:H117"/>
    <mergeCell ref="I116:I117"/>
    <mergeCell ref="A113:I113"/>
    <mergeCell ref="A116:B117"/>
    <mergeCell ref="D116:D117"/>
    <mergeCell ref="E116:E117"/>
    <mergeCell ref="F116:F117"/>
    <mergeCell ref="C116:C117"/>
    <mergeCell ref="D114:J115"/>
    <mergeCell ref="A112:H112"/>
    <mergeCell ref="D107:J108"/>
    <mergeCell ref="A111:B111"/>
    <mergeCell ref="D93:J94"/>
    <mergeCell ref="A81:H81"/>
    <mergeCell ref="A83:J83"/>
    <mergeCell ref="C85:C86"/>
    <mergeCell ref="G95:G96"/>
    <mergeCell ref="H95:H96"/>
    <mergeCell ref="I95:I96"/>
    <mergeCell ref="F95:F96"/>
    <mergeCell ref="A89:B89"/>
    <mergeCell ref="A97:B97"/>
    <mergeCell ref="D100:J101"/>
    <mergeCell ref="A104:B104"/>
    <mergeCell ref="G102:G103"/>
    <mergeCell ref="H102:H103"/>
    <mergeCell ref="A105:H105"/>
    <mergeCell ref="I102:I103"/>
    <mergeCell ref="A109:B110"/>
    <mergeCell ref="D109:D110"/>
    <mergeCell ref="F102:F103"/>
    <mergeCell ref="A102:B103"/>
    <mergeCell ref="A98:H98"/>
    <mergeCell ref="A13:J13"/>
    <mergeCell ref="A19:B19"/>
    <mergeCell ref="C37:C38"/>
    <mergeCell ref="A1:J1"/>
    <mergeCell ref="B2:J2"/>
    <mergeCell ref="B3:J3"/>
    <mergeCell ref="A4:J4"/>
    <mergeCell ref="A5:J5"/>
    <mergeCell ref="A7:J7"/>
    <mergeCell ref="C8:C9"/>
    <mergeCell ref="D8:J9"/>
    <mergeCell ref="A10:B10"/>
    <mergeCell ref="A6:J6"/>
    <mergeCell ref="A20:B20"/>
    <mergeCell ref="C16:C17"/>
    <mergeCell ref="D16:J17"/>
    <mergeCell ref="A18:B18"/>
    <mergeCell ref="I25:I26"/>
    <mergeCell ref="A11:B11"/>
    <mergeCell ref="A12:H12"/>
    <mergeCell ref="A14:J14"/>
    <mergeCell ref="A33:B33"/>
    <mergeCell ref="A34:B34"/>
    <mergeCell ref="C27:C28"/>
    <mergeCell ref="A95:B96"/>
    <mergeCell ref="D95:D96"/>
    <mergeCell ref="E95:E96"/>
    <mergeCell ref="A49:H49"/>
    <mergeCell ref="C75:C76"/>
    <mergeCell ref="D75:J76"/>
    <mergeCell ref="A77:B77"/>
    <mergeCell ref="A78:B78"/>
    <mergeCell ref="A54:B54"/>
    <mergeCell ref="D63:J64"/>
    <mergeCell ref="C51:C52"/>
    <mergeCell ref="D51:J52"/>
    <mergeCell ref="A59:B59"/>
    <mergeCell ref="D85:J86"/>
    <mergeCell ref="A67:H67"/>
    <mergeCell ref="A66:B66"/>
    <mergeCell ref="C69:C70"/>
    <mergeCell ref="D69:J70"/>
    <mergeCell ref="A71:B71"/>
    <mergeCell ref="A61:H61"/>
    <mergeCell ref="A53:B53"/>
    <mergeCell ref="A65:B65"/>
    <mergeCell ref="A55:H55"/>
    <mergeCell ref="A79:B79"/>
    <mergeCell ref="D25:D26"/>
    <mergeCell ref="E25:E26"/>
    <mergeCell ref="F25:F26"/>
    <mergeCell ref="C31:C32"/>
    <mergeCell ref="D31:J32"/>
    <mergeCell ref="C45:C46"/>
    <mergeCell ref="D45:J46"/>
    <mergeCell ref="A47:B47"/>
    <mergeCell ref="A90:H90"/>
    <mergeCell ref="A48:B48"/>
    <mergeCell ref="J27:J28"/>
    <mergeCell ref="A35:C35"/>
    <mergeCell ref="E35:H35"/>
    <mergeCell ref="A80:B80"/>
    <mergeCell ref="A87:B87"/>
    <mergeCell ref="A88:B88"/>
    <mergeCell ref="A73:H73"/>
    <mergeCell ref="C63:C64"/>
    <mergeCell ref="A72:B72"/>
    <mergeCell ref="A60:B60"/>
    <mergeCell ref="C57:C58"/>
    <mergeCell ref="D57:J58"/>
    <mergeCell ref="A118:B118"/>
    <mergeCell ref="A120:J120"/>
    <mergeCell ref="A119:H119"/>
    <mergeCell ref="C121:J121"/>
    <mergeCell ref="A122:J122"/>
    <mergeCell ref="A44:J44"/>
    <mergeCell ref="A21:H21"/>
    <mergeCell ref="A39:B39"/>
    <mergeCell ref="A43:H43"/>
    <mergeCell ref="C25:C26"/>
    <mergeCell ref="H27:H28"/>
    <mergeCell ref="A29:H29"/>
    <mergeCell ref="D37:J38"/>
    <mergeCell ref="A41:B41"/>
    <mergeCell ref="A42:B42"/>
    <mergeCell ref="A40:B40"/>
    <mergeCell ref="D23:J24"/>
    <mergeCell ref="A25:B26"/>
    <mergeCell ref="G25:G26"/>
    <mergeCell ref="H25:H26"/>
    <mergeCell ref="J25:J26"/>
    <mergeCell ref="A27:B27"/>
    <mergeCell ref="A28:B28"/>
    <mergeCell ref="A36:J36"/>
    <mergeCell ref="A127:B127"/>
    <mergeCell ref="A128:B128"/>
    <mergeCell ref="A129:J129"/>
    <mergeCell ref="D123:J124"/>
    <mergeCell ref="A125:B126"/>
    <mergeCell ref="D125:D126"/>
    <mergeCell ref="E125:E126"/>
    <mergeCell ref="G125:G126"/>
    <mergeCell ref="H125:H126"/>
    <mergeCell ref="I125:I126"/>
    <mergeCell ref="J125:J126"/>
  </mergeCells>
  <phoneticPr fontId="36" type="noConversion"/>
  <pageMargins left="0.511811024" right="0.511811024" top="0.78740157499999996" bottom="0.78740157499999996" header="0.31496062000000002" footer="0.31496062000000002"/>
  <pageSetup paperSize="9" scale="49" fitToHeight="0" orientation="portrait" horizontalDpi="360" verticalDpi="360" r:id="rId1"/>
  <rowBreaks count="1" manualBreakCount="1">
    <brk id="74" max="9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29"/>
  <sheetViews>
    <sheetView view="pageBreakPreview" topLeftCell="A4" zoomScale="70" zoomScaleNormal="85" zoomScaleSheetLayoutView="70" workbookViewId="0">
      <selection activeCell="M19" sqref="M19:P19"/>
    </sheetView>
  </sheetViews>
  <sheetFormatPr defaultRowHeight="15" x14ac:dyDescent="0.2"/>
  <cols>
    <col min="1" max="1" width="5.33203125" style="107" customWidth="1"/>
    <col min="2" max="2" width="7.33203125" style="107" customWidth="1"/>
    <col min="3" max="3" width="10.1640625" style="107" customWidth="1"/>
    <col min="4" max="4" width="5.1640625" style="107" customWidth="1"/>
    <col min="5" max="5" width="14.1640625" style="107" customWidth="1"/>
    <col min="6" max="6" width="31.33203125" style="107" customWidth="1"/>
    <col min="7" max="7" width="10" style="107" customWidth="1"/>
    <col min="8" max="8" width="27.33203125" style="107" customWidth="1"/>
    <col min="9" max="9" width="6.6640625" style="107" customWidth="1"/>
    <col min="10" max="10" width="13.1640625" style="107" customWidth="1"/>
    <col min="11" max="11" width="11.5" style="107" customWidth="1"/>
    <col min="12" max="12" width="12.6640625" style="107" customWidth="1"/>
    <col min="13" max="13" width="3.33203125" style="107" customWidth="1"/>
    <col min="14" max="14" width="3.83203125" style="107" customWidth="1"/>
    <col min="15" max="15" width="10.6640625" style="107" customWidth="1"/>
    <col min="16" max="16" width="11.83203125" style="107" customWidth="1"/>
    <col min="17" max="17" width="19.1640625" style="107" customWidth="1"/>
    <col min="18" max="18" width="7.83203125" style="107" customWidth="1"/>
    <col min="19" max="19" width="9.6640625" style="107" customWidth="1"/>
    <col min="20" max="20" width="11.33203125" style="107" customWidth="1"/>
    <col min="21" max="21" width="5.6640625" style="107" customWidth="1"/>
    <col min="22" max="22" width="17.6640625" style="107" customWidth="1"/>
    <col min="23" max="23" width="8.1640625" style="107" customWidth="1"/>
    <col min="24" max="24" width="3.33203125" style="107" customWidth="1"/>
    <col min="25" max="25" width="6.6640625" style="107" customWidth="1"/>
    <col min="26" max="26" width="12" style="107" customWidth="1"/>
    <col min="27" max="27" width="13.5" style="107" customWidth="1"/>
    <col min="28" max="28" width="15.5" style="107" customWidth="1"/>
    <col min="29" max="29" width="11.6640625" style="107" customWidth="1"/>
    <col min="30" max="30" width="12" style="107" bestFit="1" customWidth="1"/>
    <col min="31" max="31" width="17.6640625" style="107" customWidth="1"/>
    <col min="32" max="32" width="13.33203125" style="107" customWidth="1"/>
    <col min="33" max="33" width="18.6640625" style="107" customWidth="1"/>
    <col min="34" max="16384" width="9.33203125" style="107"/>
  </cols>
  <sheetData>
    <row r="1" spans="1:33" ht="12.75" customHeight="1" x14ac:dyDescent="0.2">
      <c r="A1" s="602" t="s">
        <v>58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03"/>
      <c r="X1" s="603"/>
      <c r="Y1" s="603"/>
      <c r="Z1" s="603"/>
      <c r="AA1" s="606" t="s">
        <v>178</v>
      </c>
      <c r="AB1" s="72"/>
      <c r="AC1" s="72"/>
      <c r="AD1" s="72"/>
      <c r="AE1" s="65"/>
      <c r="AF1" s="72"/>
    </row>
    <row r="2" spans="1:33" ht="15.75" customHeight="1" x14ac:dyDescent="0.2">
      <c r="A2" s="604"/>
      <c r="B2" s="605"/>
      <c r="C2" s="605"/>
      <c r="D2" s="605"/>
      <c r="E2" s="605"/>
      <c r="F2" s="605"/>
      <c r="G2" s="605"/>
      <c r="H2" s="605"/>
      <c r="I2" s="605"/>
      <c r="J2" s="605"/>
      <c r="K2" s="605"/>
      <c r="L2" s="605"/>
      <c r="M2" s="605"/>
      <c r="N2" s="605"/>
      <c r="O2" s="605"/>
      <c r="P2" s="605"/>
      <c r="Q2" s="605"/>
      <c r="R2" s="605"/>
      <c r="S2" s="605"/>
      <c r="T2" s="605"/>
      <c r="U2" s="605"/>
      <c r="V2" s="605"/>
      <c r="W2" s="605"/>
      <c r="X2" s="605"/>
      <c r="Y2" s="605"/>
      <c r="Z2" s="605"/>
      <c r="AA2" s="607"/>
      <c r="AB2" s="601"/>
      <c r="AC2" s="601"/>
      <c r="AD2" s="601"/>
      <c r="AE2" s="91"/>
      <c r="AF2" s="68"/>
    </row>
    <row r="3" spans="1:33" ht="12" customHeight="1" x14ac:dyDescent="0.2">
      <c r="A3" s="604"/>
      <c r="B3" s="605"/>
      <c r="C3" s="605"/>
      <c r="D3" s="605"/>
      <c r="E3" s="605"/>
      <c r="F3" s="605"/>
      <c r="G3" s="605"/>
      <c r="H3" s="605"/>
      <c r="I3" s="605"/>
      <c r="J3" s="605"/>
      <c r="K3" s="605"/>
      <c r="L3" s="605"/>
      <c r="M3" s="605"/>
      <c r="N3" s="605"/>
      <c r="O3" s="605"/>
      <c r="P3" s="605"/>
      <c r="Q3" s="605"/>
      <c r="R3" s="605"/>
      <c r="S3" s="605"/>
      <c r="T3" s="605"/>
      <c r="U3" s="605"/>
      <c r="V3" s="605"/>
      <c r="W3" s="605"/>
      <c r="X3" s="605"/>
      <c r="Y3" s="605"/>
      <c r="Z3" s="605"/>
      <c r="AA3" s="608"/>
      <c r="AB3" s="601"/>
      <c r="AC3" s="601"/>
      <c r="AD3" s="601"/>
      <c r="AE3" s="91"/>
      <c r="AF3" s="69"/>
    </row>
    <row r="4" spans="1:33" ht="15.75" customHeight="1" x14ac:dyDescent="0.2">
      <c r="A4" s="628" t="s">
        <v>59</v>
      </c>
      <c r="B4" s="564"/>
      <c r="C4" s="564"/>
      <c r="D4" s="564"/>
      <c r="E4" s="565"/>
      <c r="F4" s="540" t="s">
        <v>60</v>
      </c>
      <c r="G4" s="541"/>
      <c r="H4" s="541"/>
      <c r="I4" s="541"/>
      <c r="J4" s="542"/>
      <c r="K4" s="546" t="s">
        <v>61</v>
      </c>
      <c r="L4" s="547"/>
      <c r="M4" s="547"/>
      <c r="N4" s="548"/>
      <c r="O4" s="549" t="s">
        <v>62</v>
      </c>
      <c r="P4" s="541"/>
      <c r="Q4" s="541"/>
      <c r="R4" s="541"/>
      <c r="S4" s="541"/>
      <c r="T4" s="541"/>
      <c r="U4" s="541"/>
      <c r="V4" s="541"/>
      <c r="W4" s="541"/>
      <c r="X4" s="541"/>
      <c r="Y4" s="541"/>
      <c r="Z4" s="541"/>
      <c r="AA4" s="550"/>
      <c r="AB4" s="601"/>
      <c r="AC4" s="601"/>
      <c r="AD4" s="601"/>
      <c r="AE4" s="91"/>
      <c r="AF4" s="69"/>
    </row>
    <row r="5" spans="1:33" ht="23.25" customHeight="1" x14ac:dyDescent="0.2">
      <c r="A5" s="70" t="s">
        <v>63</v>
      </c>
      <c r="B5" s="555" t="s">
        <v>64</v>
      </c>
      <c r="C5" s="556"/>
      <c r="D5" s="71"/>
      <c r="E5" s="257" t="s">
        <v>65</v>
      </c>
      <c r="F5" s="543">
        <f>PLANILHA!A9</f>
        <v>0</v>
      </c>
      <c r="G5" s="544"/>
      <c r="H5" s="544"/>
      <c r="I5" s="544"/>
      <c r="J5" s="545"/>
      <c r="K5" s="551"/>
      <c r="L5" s="544"/>
      <c r="M5" s="544"/>
      <c r="N5" s="545"/>
      <c r="O5" s="551" t="str">
        <f>PLANILHA!A6</f>
        <v>CONSTRUÇÃO DO MURO DO CEMITÉRIO NO DISTRITO DE NOVA MINDA, JAPONVAR/MG</v>
      </c>
      <c r="P5" s="544"/>
      <c r="Q5" s="544"/>
      <c r="R5" s="544"/>
      <c r="S5" s="544"/>
      <c r="T5" s="544"/>
      <c r="U5" s="544"/>
      <c r="V5" s="544"/>
      <c r="W5" s="544"/>
      <c r="X5" s="544"/>
      <c r="Y5" s="544"/>
      <c r="Z5" s="544"/>
      <c r="AA5" s="557"/>
      <c r="AB5" s="601"/>
      <c r="AC5" s="601"/>
      <c r="AD5" s="601"/>
      <c r="AE5" s="91"/>
      <c r="AF5" s="69"/>
    </row>
    <row r="6" spans="1:33" ht="15.75" customHeight="1" x14ac:dyDescent="0.2">
      <c r="A6" s="552"/>
      <c r="B6" s="553"/>
      <c r="C6" s="553"/>
      <c r="D6" s="553"/>
      <c r="E6" s="553"/>
      <c r="F6" s="553"/>
      <c r="G6" s="553"/>
      <c r="H6" s="553"/>
      <c r="I6" s="553"/>
      <c r="J6" s="553"/>
      <c r="K6" s="553"/>
      <c r="L6" s="553"/>
      <c r="M6" s="553"/>
      <c r="N6" s="553"/>
      <c r="O6" s="553"/>
      <c r="P6" s="553"/>
      <c r="Q6" s="553"/>
      <c r="R6" s="553"/>
      <c r="S6" s="553"/>
      <c r="T6" s="553"/>
      <c r="U6" s="553"/>
      <c r="V6" s="553"/>
      <c r="W6" s="553"/>
      <c r="X6" s="553"/>
      <c r="Y6" s="553"/>
      <c r="Z6" s="553"/>
      <c r="AA6" s="554"/>
      <c r="AB6" s="601"/>
      <c r="AC6" s="601"/>
      <c r="AD6" s="601"/>
      <c r="AE6" s="91"/>
      <c r="AF6" s="69"/>
    </row>
    <row r="7" spans="1:33" ht="20.25" customHeight="1" x14ac:dyDescent="0.2">
      <c r="A7" s="628" t="s">
        <v>66</v>
      </c>
      <c r="B7" s="564"/>
      <c r="C7" s="564"/>
      <c r="D7" s="564"/>
      <c r="E7" s="564"/>
      <c r="F7" s="564"/>
      <c r="G7" s="565"/>
      <c r="H7" s="563" t="s">
        <v>67</v>
      </c>
      <c r="I7" s="564"/>
      <c r="J7" s="564"/>
      <c r="K7" s="564"/>
      <c r="L7" s="564"/>
      <c r="M7" s="564"/>
      <c r="N7" s="564"/>
      <c r="O7" s="564"/>
      <c r="P7" s="564"/>
      <c r="Q7" s="564"/>
      <c r="R7" s="564"/>
      <c r="S7" s="565"/>
      <c r="T7" s="541" t="s">
        <v>68</v>
      </c>
      <c r="U7" s="541"/>
      <c r="V7" s="541"/>
      <c r="W7" s="542"/>
      <c r="X7" s="549" t="s">
        <v>69</v>
      </c>
      <c r="Y7" s="541"/>
      <c r="Z7" s="541"/>
      <c r="AA7" s="566"/>
      <c r="AB7" s="601"/>
      <c r="AC7" s="601"/>
      <c r="AD7" s="601"/>
      <c r="AE7" s="91"/>
      <c r="AF7" s="69"/>
    </row>
    <row r="8" spans="1:33" ht="15.75" customHeight="1" x14ac:dyDescent="0.2">
      <c r="A8" s="631"/>
      <c r="B8" s="632"/>
      <c r="C8" s="632"/>
      <c r="D8" s="632"/>
      <c r="E8" s="632"/>
      <c r="F8" s="632"/>
      <c r="G8" s="633"/>
      <c r="H8" s="558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60"/>
      <c r="T8" s="561"/>
      <c r="U8" s="561"/>
      <c r="V8" s="561"/>
      <c r="W8" s="562"/>
      <c r="X8" s="551" t="s">
        <v>70</v>
      </c>
      <c r="Y8" s="544"/>
      <c r="Z8" s="544"/>
      <c r="AA8" s="557"/>
      <c r="AB8" s="601"/>
      <c r="AC8" s="601"/>
      <c r="AD8" s="601"/>
      <c r="AE8" s="91"/>
      <c r="AF8" s="69"/>
    </row>
    <row r="9" spans="1:33" ht="19.5" customHeight="1" x14ac:dyDescent="0.2">
      <c r="A9" s="635" t="s">
        <v>71</v>
      </c>
      <c r="B9" s="636"/>
      <c r="C9" s="636"/>
      <c r="D9" s="636"/>
      <c r="E9" s="636"/>
      <c r="F9" s="636"/>
      <c r="G9" s="636"/>
      <c r="H9" s="636"/>
      <c r="I9" s="636"/>
      <c r="J9" s="636"/>
      <c r="K9" s="636"/>
      <c r="L9" s="636"/>
      <c r="M9" s="636"/>
      <c r="N9" s="636"/>
      <c r="O9" s="636"/>
      <c r="P9" s="636"/>
      <c r="Q9" s="636"/>
      <c r="R9" s="636"/>
      <c r="S9" s="636"/>
      <c r="T9" s="636"/>
      <c r="U9" s="636"/>
      <c r="V9" s="636"/>
      <c r="W9" s="636"/>
      <c r="X9" s="636"/>
      <c r="Y9" s="636"/>
      <c r="Z9" s="636"/>
      <c r="AA9" s="637"/>
      <c r="AB9" s="72"/>
      <c r="AC9" s="72"/>
      <c r="AD9" s="72"/>
      <c r="AE9" s="72"/>
      <c r="AF9" s="72"/>
    </row>
    <row r="10" spans="1:33" ht="15" customHeight="1" x14ac:dyDescent="0.2">
      <c r="A10" s="634" t="str">
        <f>PLANILHA!M6</f>
        <v>DISTRITO DE NOVA MINDA/ JAPONVAR - MG</v>
      </c>
      <c r="B10" s="544"/>
      <c r="C10" s="544"/>
      <c r="D10" s="544"/>
      <c r="E10" s="544"/>
      <c r="F10" s="544"/>
      <c r="G10" s="544"/>
      <c r="H10" s="544"/>
      <c r="I10" s="544"/>
      <c r="J10" s="544"/>
      <c r="K10" s="544"/>
      <c r="L10" s="544"/>
      <c r="M10" s="544"/>
      <c r="N10" s="544"/>
      <c r="O10" s="544"/>
      <c r="P10" s="544"/>
      <c r="Q10" s="544"/>
      <c r="R10" s="544"/>
      <c r="S10" s="544"/>
      <c r="T10" s="544"/>
      <c r="U10" s="544"/>
      <c r="V10" s="544"/>
      <c r="W10" s="544"/>
      <c r="X10" s="544"/>
      <c r="Y10" s="544"/>
      <c r="Z10" s="544"/>
      <c r="AA10" s="557"/>
      <c r="AB10" s="601"/>
      <c r="AC10" s="601"/>
      <c r="AD10" s="601"/>
      <c r="AE10" s="91"/>
      <c r="AF10" s="110"/>
    </row>
    <row r="11" spans="1:33" ht="20.25" customHeight="1" x14ac:dyDescent="0.2">
      <c r="A11" s="626" t="s">
        <v>72</v>
      </c>
      <c r="B11" s="541"/>
      <c r="C11" s="541"/>
      <c r="D11" s="541"/>
      <c r="E11" s="541"/>
      <c r="F11" s="541"/>
      <c r="G11" s="541"/>
      <c r="H11" s="541"/>
      <c r="I11" s="541"/>
      <c r="J11" s="541"/>
      <c r="K11" s="541"/>
      <c r="L11" s="541"/>
      <c r="M11" s="541"/>
      <c r="N11" s="541"/>
      <c r="O11" s="541"/>
      <c r="P11" s="541"/>
      <c r="Q11" s="541"/>
      <c r="R11" s="541"/>
      <c r="S11" s="541"/>
      <c r="T11" s="541"/>
      <c r="U11" s="541"/>
      <c r="V11" s="541"/>
      <c r="W11" s="541"/>
      <c r="X11" s="541"/>
      <c r="Y11" s="541"/>
      <c r="Z11" s="541"/>
      <c r="AA11" s="566"/>
      <c r="AB11" s="601"/>
      <c r="AC11" s="601"/>
      <c r="AD11" s="601"/>
      <c r="AE11" s="91"/>
      <c r="AF11" s="73"/>
    </row>
    <row r="12" spans="1:33" ht="21" customHeight="1" thickBot="1" x14ac:dyDescent="0.25">
      <c r="A12" s="619" t="str">
        <f>PLANILHA!A6</f>
        <v>CONSTRUÇÃO DO MURO DO CEMITÉRIO NO DISTRITO DE NOVA MINDA, JAPONVAR/MG</v>
      </c>
      <c r="B12" s="620"/>
      <c r="C12" s="620"/>
      <c r="D12" s="620"/>
      <c r="E12" s="620"/>
      <c r="F12" s="620"/>
      <c r="G12" s="620"/>
      <c r="H12" s="620"/>
      <c r="I12" s="620"/>
      <c r="J12" s="620"/>
      <c r="K12" s="620"/>
      <c r="L12" s="620"/>
      <c r="M12" s="620"/>
      <c r="N12" s="620"/>
      <c r="O12" s="620"/>
      <c r="P12" s="620"/>
      <c r="Q12" s="620"/>
      <c r="R12" s="620"/>
      <c r="S12" s="620"/>
      <c r="T12" s="620"/>
      <c r="U12" s="620"/>
      <c r="V12" s="620"/>
      <c r="W12" s="620"/>
      <c r="X12" s="620"/>
      <c r="Y12" s="620"/>
      <c r="Z12" s="620"/>
      <c r="AA12" s="621"/>
      <c r="AB12" s="601"/>
      <c r="AC12" s="601"/>
      <c r="AD12" s="601"/>
      <c r="AE12" s="91"/>
      <c r="AF12" s="73"/>
    </row>
    <row r="13" spans="1:33" ht="39" customHeight="1" thickTop="1" x14ac:dyDescent="0.2">
      <c r="A13" s="609" t="s">
        <v>73</v>
      </c>
      <c r="B13" s="610"/>
      <c r="C13" s="641" t="s">
        <v>74</v>
      </c>
      <c r="D13" s="642"/>
      <c r="E13" s="642"/>
      <c r="F13" s="610"/>
      <c r="G13" s="128" t="s">
        <v>75</v>
      </c>
      <c r="H13" s="128" t="s">
        <v>76</v>
      </c>
      <c r="I13" s="658"/>
      <c r="J13" s="659"/>
      <c r="K13" s="659"/>
      <c r="L13" s="660"/>
      <c r="M13" s="622" t="s">
        <v>77</v>
      </c>
      <c r="N13" s="623"/>
      <c r="O13" s="623"/>
      <c r="P13" s="623"/>
      <c r="Q13" s="624"/>
      <c r="R13" s="622" t="s">
        <v>78</v>
      </c>
      <c r="S13" s="623"/>
      <c r="T13" s="623"/>
      <c r="U13" s="623"/>
      <c r="V13" s="624"/>
      <c r="W13" s="622" t="s">
        <v>79</v>
      </c>
      <c r="X13" s="623"/>
      <c r="Y13" s="623"/>
      <c r="Z13" s="623"/>
      <c r="AA13" s="629"/>
      <c r="AB13" s="601"/>
      <c r="AC13" s="601"/>
      <c r="AD13" s="601"/>
      <c r="AE13" s="91"/>
      <c r="AF13" s="74"/>
    </row>
    <row r="14" spans="1:33" ht="30" customHeight="1" x14ac:dyDescent="0.2">
      <c r="A14" s="611"/>
      <c r="B14" s="612"/>
      <c r="C14" s="643"/>
      <c r="D14" s="644"/>
      <c r="E14" s="644"/>
      <c r="F14" s="612"/>
      <c r="G14" s="129" t="s">
        <v>80</v>
      </c>
      <c r="H14" s="129" t="s">
        <v>81</v>
      </c>
      <c r="I14" s="613" t="s">
        <v>2</v>
      </c>
      <c r="J14" s="614"/>
      <c r="K14" s="615"/>
      <c r="L14" s="130" t="s">
        <v>80</v>
      </c>
      <c r="M14" s="630" t="s">
        <v>2</v>
      </c>
      <c r="N14" s="614"/>
      <c r="O14" s="614"/>
      <c r="P14" s="615"/>
      <c r="Q14" s="131" t="s">
        <v>80</v>
      </c>
      <c r="R14" s="630" t="s">
        <v>2</v>
      </c>
      <c r="S14" s="614"/>
      <c r="T14" s="614"/>
      <c r="U14" s="615"/>
      <c r="V14" s="131" t="s">
        <v>80</v>
      </c>
      <c r="W14" s="630" t="s">
        <v>2</v>
      </c>
      <c r="X14" s="614"/>
      <c r="Y14" s="614"/>
      <c r="Z14" s="615"/>
      <c r="AA14" s="132" t="s">
        <v>80</v>
      </c>
      <c r="AC14" s="66"/>
      <c r="AD14" s="91"/>
      <c r="AE14" s="91"/>
      <c r="AF14" s="74"/>
    </row>
    <row r="15" spans="1:33" ht="30.75" customHeight="1" x14ac:dyDescent="0.2">
      <c r="A15" s="593">
        <v>1</v>
      </c>
      <c r="B15" s="594"/>
      <c r="C15" s="595" t="str">
        <f>PLANILHA!D23</f>
        <v>SERVIÇOS PRELIMINARES DO MURO DE FECHAMENTO</v>
      </c>
      <c r="D15" s="596"/>
      <c r="E15" s="596"/>
      <c r="F15" s="597"/>
      <c r="G15" s="76">
        <f>H15/$H$19</f>
        <v>2.6081677984725497E-2</v>
      </c>
      <c r="H15" s="92">
        <f>PLANILHA!S25</f>
        <v>1765.04</v>
      </c>
      <c r="I15" s="616">
        <f>H15</f>
        <v>1765.04</v>
      </c>
      <c r="J15" s="617"/>
      <c r="K15" s="618"/>
      <c r="L15" s="77">
        <v>1</v>
      </c>
      <c r="M15" s="583">
        <f t="shared" ref="M15:M16" si="0">Q15*I15</f>
        <v>1765.04</v>
      </c>
      <c r="N15" s="584"/>
      <c r="O15" s="584"/>
      <c r="P15" s="585"/>
      <c r="Q15" s="118">
        <v>1</v>
      </c>
      <c r="R15" s="625">
        <f>V15*I15</f>
        <v>0</v>
      </c>
      <c r="S15" s="617"/>
      <c r="T15" s="617"/>
      <c r="U15" s="618"/>
      <c r="V15" s="96">
        <v>0</v>
      </c>
      <c r="W15" s="627" t="s">
        <v>82</v>
      </c>
      <c r="X15" s="596"/>
      <c r="Y15" s="596"/>
      <c r="Z15" s="597"/>
      <c r="AA15" s="120">
        <v>0</v>
      </c>
      <c r="AC15" s="111"/>
      <c r="AD15" s="115" t="e">
        <f>Q15+V15+AA15+#REF!+#REF!+#REF!</f>
        <v>#REF!</v>
      </c>
      <c r="AE15" s="75"/>
      <c r="AF15" s="73"/>
      <c r="AG15" s="111" t="e">
        <f>AF2+#REF!+#REF!+AA15+V15+Q15</f>
        <v>#REF!</v>
      </c>
    </row>
    <row r="16" spans="1:33" ht="30" customHeight="1" x14ac:dyDescent="0.2">
      <c r="A16" s="593">
        <v>2</v>
      </c>
      <c r="B16" s="594"/>
      <c r="C16" s="595" t="str">
        <f>PLANILHA!D26</f>
        <v>TERRAPLANAGEM E FUNDAÇÃO DO MURO DE FECHAMENTO</v>
      </c>
      <c r="D16" s="596"/>
      <c r="E16" s="596"/>
      <c r="F16" s="597"/>
      <c r="G16" s="78">
        <f>H16/$H$19</f>
        <v>0.4936297129927848</v>
      </c>
      <c r="H16" s="93">
        <f>PLANILHA!S36</f>
        <v>33405.68</v>
      </c>
      <c r="I16" s="645">
        <f t="shared" ref="I16" si="1">H16</f>
        <v>33405.68</v>
      </c>
      <c r="J16" s="646"/>
      <c r="K16" s="647"/>
      <c r="L16" s="79">
        <v>1</v>
      </c>
      <c r="M16" s="580">
        <f t="shared" si="0"/>
        <v>33405.68</v>
      </c>
      <c r="N16" s="581"/>
      <c r="O16" s="581"/>
      <c r="P16" s="582"/>
      <c r="Q16" s="119">
        <v>1</v>
      </c>
      <c r="R16" s="583">
        <f>V16*I16</f>
        <v>0</v>
      </c>
      <c r="S16" s="584"/>
      <c r="T16" s="584"/>
      <c r="U16" s="585"/>
      <c r="V16" s="97">
        <v>0</v>
      </c>
      <c r="W16" s="573" t="s">
        <v>82</v>
      </c>
      <c r="X16" s="574"/>
      <c r="Y16" s="574"/>
      <c r="Z16" s="575"/>
      <c r="AA16" s="121">
        <v>0</v>
      </c>
      <c r="AC16" s="111"/>
      <c r="AD16" s="111" t="e">
        <f>Q16+V16+AA16+#REF!+#REF!+#REF!</f>
        <v>#REF!</v>
      </c>
      <c r="AG16" s="111" t="e">
        <f>AF4+#REF!+#REF!+AA16+V16+Q16</f>
        <v>#REF!</v>
      </c>
    </row>
    <row r="17" spans="1:34" s="126" customFormat="1" ht="33" customHeight="1" x14ac:dyDescent="0.2">
      <c r="A17" s="593">
        <v>3</v>
      </c>
      <c r="B17" s="594"/>
      <c r="C17" s="595" t="str">
        <f>PLANILHA!D37</f>
        <v>SUPERESTRUTURA E ALVENARIA DO MURO DE FECHAMENTO</v>
      </c>
      <c r="D17" s="596"/>
      <c r="E17" s="596"/>
      <c r="F17" s="597"/>
      <c r="G17" s="78">
        <f>H17/$H$19</f>
        <v>0.45870203961488065</v>
      </c>
      <c r="H17" s="93">
        <f>PLANILHA!S43</f>
        <v>31042</v>
      </c>
      <c r="I17" s="598">
        <f t="shared" ref="I17" si="2">H17</f>
        <v>31042</v>
      </c>
      <c r="J17" s="599"/>
      <c r="K17" s="600"/>
      <c r="L17" s="79">
        <v>1</v>
      </c>
      <c r="M17" s="580">
        <f t="shared" ref="M17" si="3">Q17*I17</f>
        <v>0</v>
      </c>
      <c r="N17" s="581"/>
      <c r="O17" s="581"/>
      <c r="P17" s="582"/>
      <c r="Q17" s="119">
        <v>0</v>
      </c>
      <c r="R17" s="583">
        <f t="shared" ref="R17" si="4">V17*I17</f>
        <v>31042</v>
      </c>
      <c r="S17" s="584"/>
      <c r="T17" s="584"/>
      <c r="U17" s="585"/>
      <c r="V17" s="98">
        <v>1</v>
      </c>
      <c r="W17" s="570">
        <f t="shared" ref="W17" si="5">I17*AA17</f>
        <v>0</v>
      </c>
      <c r="X17" s="571"/>
      <c r="Y17" s="571"/>
      <c r="Z17" s="572"/>
      <c r="AA17" s="121">
        <v>0</v>
      </c>
      <c r="AC17" s="111"/>
      <c r="AD17" s="111"/>
      <c r="AG17" s="111"/>
    </row>
    <row r="18" spans="1:34" s="126" customFormat="1" ht="23.25" customHeight="1" x14ac:dyDescent="0.2">
      <c r="A18" s="593">
        <v>4</v>
      </c>
      <c r="B18" s="594"/>
      <c r="C18" s="595" t="str">
        <f>PLANILHA!D44</f>
        <v>ESQUADRIA</v>
      </c>
      <c r="D18" s="596"/>
      <c r="E18" s="596"/>
      <c r="F18" s="597"/>
      <c r="G18" s="78">
        <f>H18/$H$19</f>
        <v>2.1586569407609116E-2</v>
      </c>
      <c r="H18" s="93">
        <f>PLANILHA!S46</f>
        <v>1460.84</v>
      </c>
      <c r="I18" s="598">
        <f t="shared" ref="I18" si="6">H18</f>
        <v>1460.84</v>
      </c>
      <c r="J18" s="599"/>
      <c r="K18" s="600"/>
      <c r="L18" s="79">
        <v>1</v>
      </c>
      <c r="M18" s="580">
        <f t="shared" ref="M18" si="7">Q18*I18</f>
        <v>0</v>
      </c>
      <c r="N18" s="581"/>
      <c r="O18" s="581"/>
      <c r="P18" s="582"/>
      <c r="Q18" s="119">
        <v>0</v>
      </c>
      <c r="R18" s="583">
        <f t="shared" ref="R18" si="8">V18*I18</f>
        <v>1460.84</v>
      </c>
      <c r="S18" s="584"/>
      <c r="T18" s="584"/>
      <c r="U18" s="585"/>
      <c r="V18" s="97">
        <v>1</v>
      </c>
      <c r="W18" s="570">
        <f t="shared" ref="W18" si="9">I18*AA18</f>
        <v>0</v>
      </c>
      <c r="X18" s="571"/>
      <c r="Y18" s="571"/>
      <c r="Z18" s="572"/>
      <c r="AA18" s="121">
        <v>0</v>
      </c>
      <c r="AC18" s="111"/>
      <c r="AD18" s="111"/>
      <c r="AG18" s="111"/>
    </row>
    <row r="19" spans="1:34" s="112" customFormat="1" ht="18" customHeight="1" x14ac:dyDescent="0.2">
      <c r="A19" s="648" t="s">
        <v>83</v>
      </c>
      <c r="B19" s="649"/>
      <c r="C19" s="652" t="s">
        <v>84</v>
      </c>
      <c r="D19" s="653"/>
      <c r="E19" s="653"/>
      <c r="F19" s="654"/>
      <c r="G19" s="80">
        <f>SUM(G15:G18)</f>
        <v>1</v>
      </c>
      <c r="H19" s="94">
        <f>SUM(H15:H18)</f>
        <v>67673.56</v>
      </c>
      <c r="I19" s="579">
        <f>SUM(I15:K18)</f>
        <v>67673.56</v>
      </c>
      <c r="J19" s="577"/>
      <c r="K19" s="578"/>
      <c r="L19" s="79">
        <f t="shared" ref="L19" si="10">(I19)/H19</f>
        <v>1</v>
      </c>
      <c r="M19" s="638">
        <f>SUM(M15:P18)</f>
        <v>35170.720000000001</v>
      </c>
      <c r="N19" s="639"/>
      <c r="O19" s="639"/>
      <c r="P19" s="640"/>
      <c r="Q19" s="81">
        <f>(M19)/$H$19</f>
        <v>0.51971139097751029</v>
      </c>
      <c r="R19" s="589">
        <f>SUM(R15:U18)</f>
        <v>32502.84</v>
      </c>
      <c r="S19" s="590"/>
      <c r="T19" s="590"/>
      <c r="U19" s="591"/>
      <c r="V19" s="81">
        <f>(R19)/$H$19</f>
        <v>0.48028860902248977</v>
      </c>
      <c r="W19" s="576">
        <f>SUM(W15:Z18)</f>
        <v>0</v>
      </c>
      <c r="X19" s="577"/>
      <c r="Y19" s="577"/>
      <c r="Z19" s="578"/>
      <c r="AA19" s="82">
        <f>(W19)/$H$19</f>
        <v>0</v>
      </c>
      <c r="AC19" s="108"/>
      <c r="AD19" s="116" t="e">
        <f>#REF!+#REF!+#REF!+AA19+V19+Q19</f>
        <v>#REF!</v>
      </c>
      <c r="AE19" s="113"/>
      <c r="AF19" s="113"/>
      <c r="AG19" s="113"/>
    </row>
    <row r="20" spans="1:34" s="112" customFormat="1" ht="18" customHeight="1" thickBot="1" x14ac:dyDescent="0.25">
      <c r="A20" s="650"/>
      <c r="B20" s="651"/>
      <c r="C20" s="655" t="s">
        <v>85</v>
      </c>
      <c r="D20" s="656"/>
      <c r="E20" s="656"/>
      <c r="F20" s="657"/>
      <c r="G20" s="83">
        <f>G19</f>
        <v>1</v>
      </c>
      <c r="H20" s="95">
        <f>H19</f>
        <v>67673.56</v>
      </c>
      <c r="I20" s="592">
        <f>I19</f>
        <v>67673.56</v>
      </c>
      <c r="J20" s="568"/>
      <c r="K20" s="569"/>
      <c r="L20" s="117">
        <f>L19</f>
        <v>1</v>
      </c>
      <c r="M20" s="586">
        <f>M19</f>
        <v>35170.720000000001</v>
      </c>
      <c r="N20" s="587"/>
      <c r="O20" s="587"/>
      <c r="P20" s="588"/>
      <c r="Q20" s="84">
        <f>Q19</f>
        <v>0.51971139097751029</v>
      </c>
      <c r="R20" s="586">
        <f>M20+R19</f>
        <v>67673.56</v>
      </c>
      <c r="S20" s="587"/>
      <c r="T20" s="587"/>
      <c r="U20" s="588"/>
      <c r="V20" s="84">
        <f>V19+Q20</f>
        <v>1</v>
      </c>
      <c r="W20" s="567">
        <f>R20+W19</f>
        <v>67673.56</v>
      </c>
      <c r="X20" s="568"/>
      <c r="Y20" s="568"/>
      <c r="Z20" s="569"/>
      <c r="AA20" s="122">
        <f>AA19+V20</f>
        <v>1</v>
      </c>
      <c r="AB20" s="113"/>
      <c r="AC20" s="113"/>
      <c r="AD20" s="113"/>
      <c r="AE20" s="113"/>
      <c r="AF20" s="113"/>
      <c r="AG20" s="113"/>
    </row>
    <row r="21" spans="1:34" ht="15.75" thickTop="1" x14ac:dyDescent="0.2">
      <c r="A21" s="90"/>
      <c r="B21" s="256"/>
      <c r="C21" s="256"/>
      <c r="D21" s="256"/>
      <c r="E21" s="256"/>
      <c r="F21" s="256"/>
      <c r="G21" s="85"/>
      <c r="H21" s="86"/>
      <c r="I21" s="87"/>
      <c r="J21" s="87"/>
      <c r="K21" s="86"/>
      <c r="L21" s="85"/>
      <c r="M21" s="87"/>
      <c r="N21" s="87"/>
      <c r="O21" s="87"/>
      <c r="P21" s="86"/>
      <c r="Q21" s="88"/>
      <c r="R21" s="89"/>
      <c r="S21" s="89"/>
      <c r="T21" s="89"/>
      <c r="U21" s="85"/>
      <c r="V21" s="69"/>
      <c r="W21" s="89"/>
      <c r="X21" s="89"/>
      <c r="Y21" s="89"/>
      <c r="Z21" s="85"/>
      <c r="AA21" s="123"/>
    </row>
    <row r="22" spans="1:34" x14ac:dyDescent="0.2">
      <c r="A22" s="100"/>
      <c r="B22" s="126"/>
      <c r="C22" s="126"/>
      <c r="D22" s="126"/>
      <c r="E22" s="126"/>
      <c r="F22" s="126"/>
      <c r="G22" s="126"/>
      <c r="H22" s="126"/>
      <c r="I22" s="126"/>
      <c r="J22" s="126"/>
      <c r="K22" s="126"/>
      <c r="L22" s="126"/>
      <c r="M22" s="126"/>
      <c r="N22" s="126"/>
      <c r="O22" s="126"/>
      <c r="P22" s="126"/>
      <c r="Q22" s="126"/>
      <c r="R22" s="126"/>
      <c r="S22" s="126"/>
      <c r="T22" s="126"/>
      <c r="U22" s="126"/>
      <c r="V22" s="126"/>
      <c r="W22" s="126"/>
      <c r="X22" s="126"/>
      <c r="Y22" s="126"/>
      <c r="Z22" s="126"/>
      <c r="AA22" s="99"/>
    </row>
    <row r="23" spans="1:34" x14ac:dyDescent="0.2">
      <c r="A23" s="100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99"/>
    </row>
    <row r="24" spans="1:34" x14ac:dyDescent="0.2">
      <c r="A24" s="100"/>
      <c r="B24" s="126"/>
      <c r="C24" s="126"/>
      <c r="D24" s="126"/>
      <c r="E24" s="126"/>
      <c r="F24" s="126"/>
      <c r="G24" s="126"/>
      <c r="H24" s="126"/>
      <c r="I24" s="126"/>
      <c r="J24" s="126"/>
      <c r="K24" s="126"/>
      <c r="L24" s="126"/>
      <c r="M24" s="126"/>
      <c r="N24" s="126"/>
      <c r="O24" s="126"/>
      <c r="P24" s="126"/>
      <c r="Q24" s="126"/>
      <c r="R24" s="126"/>
      <c r="S24" s="126"/>
      <c r="T24" s="126"/>
      <c r="U24" s="126"/>
      <c r="V24" s="126"/>
      <c r="W24" s="126"/>
      <c r="X24" s="126"/>
      <c r="Y24" s="126"/>
      <c r="Z24" s="126"/>
      <c r="AA24" s="99"/>
    </row>
    <row r="25" spans="1:34" ht="60" customHeight="1" x14ac:dyDescent="0.2">
      <c r="A25" s="100"/>
      <c r="B25" s="126"/>
      <c r="C25" s="126"/>
      <c r="D25" s="126"/>
      <c r="E25" s="126"/>
      <c r="F25" s="101"/>
      <c r="G25" s="255"/>
      <c r="H25" s="666"/>
      <c r="I25" s="666"/>
      <c r="J25" s="666"/>
      <c r="K25" s="666"/>
      <c r="L25" s="666"/>
      <c r="M25" s="255"/>
      <c r="N25" s="255"/>
      <c r="O25" s="255"/>
      <c r="P25" s="101"/>
      <c r="Q25" s="101"/>
      <c r="R25" s="101"/>
      <c r="S25" s="101"/>
      <c r="T25" s="665"/>
      <c r="U25" s="665"/>
      <c r="V25" s="665"/>
      <c r="W25" s="665"/>
      <c r="X25" s="665"/>
      <c r="Y25" s="665"/>
      <c r="Z25" s="665"/>
      <c r="AA25" s="109"/>
      <c r="AG25" s="106"/>
      <c r="AH25" s="106"/>
    </row>
    <row r="26" spans="1:34" ht="15.75" customHeight="1" x14ac:dyDescent="0.2">
      <c r="A26" s="100"/>
      <c r="B26" s="126"/>
      <c r="C26" s="126"/>
      <c r="D26" s="126"/>
      <c r="E26" s="126"/>
      <c r="F26" s="667" t="s">
        <v>86</v>
      </c>
      <c r="G26" s="667"/>
      <c r="H26" s="668" t="s">
        <v>195</v>
      </c>
      <c r="I26" s="668"/>
      <c r="J26" s="668"/>
      <c r="K26" s="668"/>
      <c r="L26" s="668"/>
      <c r="M26" s="114"/>
      <c r="N26" s="114"/>
      <c r="O26" s="114"/>
      <c r="P26" s="102"/>
      <c r="Q26" s="102"/>
      <c r="R26" s="102"/>
      <c r="S26" s="102"/>
      <c r="T26" s="663" t="str">
        <f>PLANILHA!H54</f>
        <v>GABRIEL VINICIUS MARTINS</v>
      </c>
      <c r="U26" s="663"/>
      <c r="V26" s="663"/>
      <c r="W26" s="663"/>
      <c r="X26" s="663"/>
      <c r="Y26" s="663"/>
      <c r="Z26" s="663"/>
      <c r="AA26" s="67"/>
      <c r="AG26" s="66"/>
      <c r="AH26" s="66"/>
    </row>
    <row r="27" spans="1:34" x14ac:dyDescent="0.2">
      <c r="A27" s="100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664" t="str">
        <f>PLANILHA!G55</f>
        <v>ENGENHEIRO CIVIL - CREA MG 230779/D</v>
      </c>
      <c r="U27" s="664"/>
      <c r="V27" s="664"/>
      <c r="W27" s="664"/>
      <c r="X27" s="664"/>
      <c r="Y27" s="664"/>
      <c r="Z27" s="664"/>
      <c r="AA27" s="99"/>
    </row>
    <row r="28" spans="1:34" ht="15.75" customHeight="1" x14ac:dyDescent="0.2">
      <c r="A28" s="100"/>
      <c r="B28" s="126"/>
      <c r="C28" s="126"/>
      <c r="D28" s="126"/>
      <c r="E28" s="126"/>
      <c r="F28" s="126"/>
      <c r="G28" s="126"/>
      <c r="H28" s="126"/>
      <c r="I28" s="126"/>
      <c r="J28" s="126"/>
      <c r="K28" s="126"/>
      <c r="L28" s="126"/>
      <c r="M28" s="126"/>
      <c r="N28" s="126"/>
      <c r="O28" s="126"/>
      <c r="P28" s="126"/>
      <c r="Q28" s="126"/>
      <c r="R28" s="126"/>
      <c r="S28" s="126"/>
      <c r="T28" s="126"/>
      <c r="U28" s="126"/>
      <c r="V28" s="126"/>
      <c r="W28" s="126"/>
      <c r="X28" s="126"/>
      <c r="Y28" s="126"/>
      <c r="Z28" s="126"/>
      <c r="AA28" s="99"/>
    </row>
    <row r="29" spans="1:34" ht="15.75" customHeight="1" thickBot="1" x14ac:dyDescent="0.25">
      <c r="A29" s="661" t="str">
        <f>PLANILHA!A49</f>
        <v>LOCAL E DATA: JAPONVAR/MG, JULHO DE 2020</v>
      </c>
      <c r="B29" s="662"/>
      <c r="C29" s="662"/>
      <c r="D29" s="662"/>
      <c r="E29" s="662"/>
      <c r="F29" s="662"/>
      <c r="G29" s="662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4"/>
    </row>
  </sheetData>
  <mergeCells count="86">
    <mergeCell ref="C18:F18"/>
    <mergeCell ref="A18:B18"/>
    <mergeCell ref="I18:K18"/>
    <mergeCell ref="M18:P18"/>
    <mergeCell ref="R18:U18"/>
    <mergeCell ref="A29:G29"/>
    <mergeCell ref="T26:Z26"/>
    <mergeCell ref="T27:Z27"/>
    <mergeCell ref="T25:Z25"/>
    <mergeCell ref="H25:L25"/>
    <mergeCell ref="F26:G26"/>
    <mergeCell ref="H26:L26"/>
    <mergeCell ref="A10:AA10"/>
    <mergeCell ref="A9:AA9"/>
    <mergeCell ref="M19:P19"/>
    <mergeCell ref="W14:Z14"/>
    <mergeCell ref="C13:F14"/>
    <mergeCell ref="A16:B16"/>
    <mergeCell ref="C16:F16"/>
    <mergeCell ref="I16:K16"/>
    <mergeCell ref="M14:P14"/>
    <mergeCell ref="M15:P15"/>
    <mergeCell ref="M16:P16"/>
    <mergeCell ref="A19:B20"/>
    <mergeCell ref="C19:F19"/>
    <mergeCell ref="C20:F20"/>
    <mergeCell ref="M20:P20"/>
    <mergeCell ref="I13:L13"/>
    <mergeCell ref="A15:B15"/>
    <mergeCell ref="C15:F15"/>
    <mergeCell ref="W13:AA13"/>
    <mergeCell ref="R14:U14"/>
    <mergeCell ref="AB2:AD2"/>
    <mergeCell ref="AB13:AD13"/>
    <mergeCell ref="AB12:AD12"/>
    <mergeCell ref="AB11:AD11"/>
    <mergeCell ref="AB10:AD10"/>
    <mergeCell ref="AB8:AD8"/>
    <mergeCell ref="AB7:AD7"/>
    <mergeCell ref="AB6:AD6"/>
    <mergeCell ref="AB5:AD5"/>
    <mergeCell ref="AB4:AD4"/>
    <mergeCell ref="A7:G7"/>
    <mergeCell ref="A8:G8"/>
    <mergeCell ref="A17:B17"/>
    <mergeCell ref="C17:F17"/>
    <mergeCell ref="I17:K17"/>
    <mergeCell ref="AB3:AD3"/>
    <mergeCell ref="A1:Z3"/>
    <mergeCell ref="AA1:AA3"/>
    <mergeCell ref="A13:B14"/>
    <mergeCell ref="I14:K14"/>
    <mergeCell ref="I15:K15"/>
    <mergeCell ref="A12:AA12"/>
    <mergeCell ref="M13:Q13"/>
    <mergeCell ref="R15:U15"/>
    <mergeCell ref="A11:AA11"/>
    <mergeCell ref="W15:Z15"/>
    <mergeCell ref="R13:V13"/>
    <mergeCell ref="A4:E4"/>
    <mergeCell ref="W20:Z20"/>
    <mergeCell ref="W17:Z17"/>
    <mergeCell ref="W16:Z16"/>
    <mergeCell ref="W19:Z19"/>
    <mergeCell ref="I19:K19"/>
    <mergeCell ref="M17:P17"/>
    <mergeCell ref="R17:U17"/>
    <mergeCell ref="R16:U16"/>
    <mergeCell ref="R20:U20"/>
    <mergeCell ref="R19:U19"/>
    <mergeCell ref="I20:K20"/>
    <mergeCell ref="W18:Z18"/>
    <mergeCell ref="A6:AA6"/>
    <mergeCell ref="B5:C5"/>
    <mergeCell ref="O5:AA5"/>
    <mergeCell ref="H8:S8"/>
    <mergeCell ref="T7:W7"/>
    <mergeCell ref="T8:W8"/>
    <mergeCell ref="H7:S7"/>
    <mergeCell ref="X7:AA7"/>
    <mergeCell ref="X8:AA8"/>
    <mergeCell ref="F4:J4"/>
    <mergeCell ref="F5:J5"/>
    <mergeCell ref="K4:N4"/>
    <mergeCell ref="O4:AA4"/>
    <mergeCell ref="K5:N5"/>
  </mergeCells>
  <pageMargins left="0.511811024" right="0.511811024" top="0.78740157499999996" bottom="0.78740157499999996" header="0.31496062000000002" footer="0.31496062000000002"/>
  <pageSetup paperSize="9" scale="51" fitToHeight="0" orientation="landscape" horizontalDpi="360" verticalDpi="36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view="pageBreakPreview" zoomScale="115" zoomScaleSheetLayoutView="115" workbookViewId="0">
      <selection activeCell="G12" sqref="G12"/>
    </sheetView>
  </sheetViews>
  <sheetFormatPr defaultRowHeight="12.75" x14ac:dyDescent="0.2"/>
  <cols>
    <col min="1" max="1" width="5.5" customWidth="1"/>
    <col min="2" max="2" width="18.6640625" customWidth="1"/>
    <col min="3" max="3" width="33.5" customWidth="1"/>
    <col min="4" max="4" width="20.83203125" customWidth="1"/>
    <col min="5" max="5" width="20.6640625" customWidth="1"/>
    <col min="6" max="6" width="21.1640625" customWidth="1"/>
    <col min="7" max="7" width="22.1640625" customWidth="1"/>
    <col min="8" max="8" width="10.6640625" customWidth="1"/>
    <col min="9" max="9" width="14.83203125" customWidth="1"/>
    <col min="12" max="12" width="10.1640625" bestFit="1" customWidth="1"/>
  </cols>
  <sheetData>
    <row r="1" spans="1:12" ht="39.75" customHeight="1" thickBot="1" x14ac:dyDescent="0.25">
      <c r="A1" s="679" t="s">
        <v>119</v>
      </c>
      <c r="B1" s="680"/>
      <c r="C1" s="680"/>
      <c r="D1" s="680"/>
      <c r="E1" s="680"/>
      <c r="F1" s="680"/>
      <c r="G1" s="680"/>
      <c r="H1" s="680"/>
      <c r="I1" s="681"/>
    </row>
    <row r="2" spans="1:12" ht="13.5" thickBot="1" x14ac:dyDescent="0.25">
      <c r="A2" s="22"/>
      <c r="B2" s="11"/>
      <c r="C2" s="12" t="s">
        <v>87</v>
      </c>
      <c r="D2" s="682" t="s">
        <v>88</v>
      </c>
      <c r="E2" s="682"/>
      <c r="F2" s="682"/>
      <c r="G2" s="685"/>
      <c r="H2" s="686"/>
      <c r="I2" s="687"/>
    </row>
    <row r="3" spans="1:12" x14ac:dyDescent="0.2">
      <c r="A3" s="22"/>
      <c r="B3" s="11"/>
      <c r="C3" s="12" t="s">
        <v>89</v>
      </c>
      <c r="D3" s="682" t="s">
        <v>90</v>
      </c>
      <c r="E3" s="682"/>
      <c r="F3" s="11"/>
      <c r="G3" s="11"/>
      <c r="H3" s="11"/>
      <c r="I3" s="23"/>
      <c r="L3" s="21">
        <v>270476.19</v>
      </c>
    </row>
    <row r="4" spans="1:12" ht="12.75" customHeight="1" x14ac:dyDescent="0.2">
      <c r="A4" s="683" t="s">
        <v>91</v>
      </c>
      <c r="B4" s="682"/>
      <c r="C4" s="684" t="str">
        <f>PLANILHA!A4</f>
        <v>PREFEITURA MUNICIPAL DE JAPONVAR</v>
      </c>
      <c r="D4" s="682"/>
      <c r="E4" s="11"/>
      <c r="F4" s="11"/>
      <c r="G4" s="11"/>
      <c r="H4" s="11"/>
      <c r="I4" s="23"/>
    </row>
    <row r="5" spans="1:12" ht="12.75" customHeight="1" x14ac:dyDescent="0.2">
      <c r="A5" s="688" t="s">
        <v>92</v>
      </c>
      <c r="B5" s="689"/>
      <c r="C5" s="703" t="str">
        <f>PLANILHA!A6</f>
        <v>CONSTRUÇÃO DO MURO DO CEMITÉRIO NO DISTRITO DE NOVA MINDA, JAPONVAR/MG</v>
      </c>
      <c r="D5" s="703"/>
      <c r="E5" s="703"/>
      <c r="F5" s="703"/>
      <c r="G5" s="703"/>
      <c r="H5" s="703"/>
      <c r="I5" s="704"/>
      <c r="L5" s="21">
        <f>PLANILHA!S47</f>
        <v>67673.56</v>
      </c>
    </row>
    <row r="6" spans="1:12" x14ac:dyDescent="0.2">
      <c r="A6" s="690" t="s">
        <v>93</v>
      </c>
      <c r="B6" s="692" t="s">
        <v>94</v>
      </c>
      <c r="C6" s="693"/>
      <c r="D6" s="696" t="s">
        <v>95</v>
      </c>
      <c r="E6" s="697"/>
      <c r="F6" s="697"/>
      <c r="G6" s="698"/>
      <c r="H6" s="699" t="s">
        <v>96</v>
      </c>
      <c r="I6" s="701" t="s">
        <v>97</v>
      </c>
    </row>
    <row r="7" spans="1:12" x14ac:dyDescent="0.2">
      <c r="A7" s="691"/>
      <c r="B7" s="694"/>
      <c r="C7" s="695"/>
      <c r="D7" s="705" t="s">
        <v>179</v>
      </c>
      <c r="E7" s="706"/>
      <c r="F7" s="13" t="s">
        <v>98</v>
      </c>
      <c r="G7" s="14" t="s">
        <v>99</v>
      </c>
      <c r="H7" s="700"/>
      <c r="I7" s="702"/>
    </row>
    <row r="8" spans="1:12" ht="27" customHeight="1" x14ac:dyDescent="0.2">
      <c r="A8" s="24">
        <v>1</v>
      </c>
      <c r="B8" s="421" t="str">
        <f>PLANILHA!D23</f>
        <v>SERVIÇOS PRELIMINARES DO MURO DE FECHAMENTO</v>
      </c>
      <c r="C8" s="423"/>
      <c r="D8" s="677">
        <f>PLANILHA!S25</f>
        <v>1765.04</v>
      </c>
      <c r="E8" s="678"/>
      <c r="F8" s="13">
        <v>0</v>
      </c>
      <c r="G8" s="43">
        <f>F8+D8</f>
        <v>1765.04</v>
      </c>
      <c r="H8" s="14" t="s">
        <v>100</v>
      </c>
      <c r="I8" s="25" t="s">
        <v>101</v>
      </c>
      <c r="L8">
        <v>0.04</v>
      </c>
    </row>
    <row r="9" spans="1:12" ht="24" customHeight="1" x14ac:dyDescent="0.2">
      <c r="A9" s="24">
        <v>2</v>
      </c>
      <c r="B9" s="421" t="str">
        <f>PLANILHA!D26</f>
        <v>TERRAPLANAGEM E FUNDAÇÃO DO MURO DE FECHAMENTO</v>
      </c>
      <c r="C9" s="423"/>
      <c r="D9" s="677">
        <f>PLANILHA!S36</f>
        <v>33405.68</v>
      </c>
      <c r="E9" s="678"/>
      <c r="F9" s="13">
        <v>0</v>
      </c>
      <c r="G9" s="43">
        <f t="shared" ref="G9:G11" si="0">F9+D9</f>
        <v>33405.68</v>
      </c>
      <c r="H9" s="14" t="s">
        <v>100</v>
      </c>
      <c r="I9" s="25" t="s">
        <v>101</v>
      </c>
    </row>
    <row r="10" spans="1:12" ht="23.25" customHeight="1" x14ac:dyDescent="0.2">
      <c r="A10" s="24">
        <v>3</v>
      </c>
      <c r="B10" s="421" t="str">
        <f>PLANILHA!D37</f>
        <v>SUPERESTRUTURA E ALVENARIA DO MURO DE FECHAMENTO</v>
      </c>
      <c r="C10" s="423"/>
      <c r="D10" s="677">
        <f>PLANILHA!S43</f>
        <v>31042</v>
      </c>
      <c r="E10" s="678"/>
      <c r="F10" s="13">
        <v>0</v>
      </c>
      <c r="G10" s="43">
        <f t="shared" si="0"/>
        <v>31042</v>
      </c>
      <c r="H10" s="14" t="s">
        <v>100</v>
      </c>
      <c r="I10" s="25" t="s">
        <v>101</v>
      </c>
    </row>
    <row r="11" spans="1:12" ht="12.75" customHeight="1" x14ac:dyDescent="0.2">
      <c r="A11" s="24">
        <v>4</v>
      </c>
      <c r="B11" s="421" t="str">
        <f>PLANILHA!D44</f>
        <v>ESQUADRIA</v>
      </c>
      <c r="C11" s="423"/>
      <c r="D11" s="677">
        <f>PLANILHA!S46</f>
        <v>1460.84</v>
      </c>
      <c r="E11" s="678"/>
      <c r="F11" s="13">
        <v>0</v>
      </c>
      <c r="G11" s="43">
        <f t="shared" si="0"/>
        <v>1460.84</v>
      </c>
      <c r="H11" s="14" t="s">
        <v>100</v>
      </c>
      <c r="I11" s="25" t="s">
        <v>101</v>
      </c>
    </row>
    <row r="12" spans="1:12" ht="12.75" customHeight="1" x14ac:dyDescent="0.2">
      <c r="A12" s="26"/>
      <c r="B12" s="421" t="s">
        <v>57</v>
      </c>
      <c r="C12" s="671"/>
      <c r="D12" s="677">
        <f>SUM(D8:E11)</f>
        <v>67673.56</v>
      </c>
      <c r="E12" s="678"/>
      <c r="F12" s="13" t="s">
        <v>102</v>
      </c>
      <c r="G12" s="43">
        <f>SUM(G8:G11)</f>
        <v>67673.56</v>
      </c>
      <c r="H12" s="15"/>
      <c r="I12" s="27"/>
    </row>
    <row r="13" spans="1:12" x14ac:dyDescent="0.2">
      <c r="A13" s="672"/>
      <c r="B13" s="673"/>
      <c r="C13" s="673"/>
      <c r="D13" s="673"/>
      <c r="E13" s="673"/>
      <c r="F13" s="673"/>
      <c r="G13" s="673"/>
      <c r="H13" s="673"/>
      <c r="I13" s="674"/>
    </row>
    <row r="14" spans="1:12" ht="12.75" customHeight="1" x14ac:dyDescent="0.2">
      <c r="A14" s="51"/>
      <c r="I14" s="52"/>
    </row>
    <row r="15" spans="1:12" x14ac:dyDescent="0.2">
      <c r="A15" s="51"/>
      <c r="I15" s="52"/>
    </row>
    <row r="16" spans="1:12" ht="25.5" customHeight="1" x14ac:dyDescent="0.2">
      <c r="A16" s="51"/>
      <c r="I16" s="52"/>
    </row>
    <row r="17" spans="1:9" x14ac:dyDescent="0.2">
      <c r="A17" s="50"/>
      <c r="B17" s="62"/>
      <c r="C17" s="675" t="str">
        <f>PLANILHA!A4</f>
        <v>PREFEITURA MUNICIPAL DE JAPONVAR</v>
      </c>
      <c r="D17" s="676"/>
      <c r="E17" s="676"/>
      <c r="F17" s="11"/>
      <c r="G17" s="11"/>
      <c r="H17" s="11"/>
      <c r="I17" s="23"/>
    </row>
    <row r="18" spans="1:9" x14ac:dyDescent="0.2">
      <c r="A18" s="51"/>
      <c r="I18" s="52"/>
    </row>
    <row r="19" spans="1:9" ht="13.5" thickBot="1" x14ac:dyDescent="0.25">
      <c r="A19" s="669" t="str">
        <f>PLANILHA!A49</f>
        <v>LOCAL E DATA: JAPONVAR/MG, JULHO DE 2020</v>
      </c>
      <c r="B19" s="670"/>
      <c r="C19" s="670"/>
      <c r="D19" s="670"/>
      <c r="E19" s="258"/>
      <c r="F19" s="258"/>
      <c r="G19" s="258"/>
      <c r="H19" s="258"/>
      <c r="I19" s="53"/>
    </row>
  </sheetData>
  <mergeCells count="27">
    <mergeCell ref="D9:E9"/>
    <mergeCell ref="D10:E10"/>
    <mergeCell ref="G2:I2"/>
    <mergeCell ref="B9:C9"/>
    <mergeCell ref="B8:C8"/>
    <mergeCell ref="A5:B5"/>
    <mergeCell ref="A6:A7"/>
    <mergeCell ref="B6:C7"/>
    <mergeCell ref="D6:G6"/>
    <mergeCell ref="H6:H7"/>
    <mergeCell ref="I6:I7"/>
    <mergeCell ref="C5:I5"/>
    <mergeCell ref="D7:E7"/>
    <mergeCell ref="D8:E8"/>
    <mergeCell ref="A1:I1"/>
    <mergeCell ref="D2:F2"/>
    <mergeCell ref="D3:E3"/>
    <mergeCell ref="A4:B4"/>
    <mergeCell ref="C4:D4"/>
    <mergeCell ref="A19:D19"/>
    <mergeCell ref="B10:C10"/>
    <mergeCell ref="B12:C12"/>
    <mergeCell ref="A13:I13"/>
    <mergeCell ref="C17:E17"/>
    <mergeCell ref="D12:E12"/>
    <mergeCell ref="B11:C11"/>
    <mergeCell ref="D11:E11"/>
  </mergeCells>
  <pageMargins left="0.511811024" right="0.511811024" top="0.78740157499999996" bottom="0.78740157499999996" header="0.31496062000000002" footer="0.31496062000000002"/>
  <pageSetup paperSize="9" scale="91" fitToHeight="0" orientation="landscape" horizontalDpi="360" verticalDpi="3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5</vt:i4>
      </vt:variant>
      <vt:variant>
        <vt:lpstr>Intervalos nomeados</vt:lpstr>
      </vt:variant>
      <vt:variant>
        <vt:i4>4</vt:i4>
      </vt:variant>
    </vt:vector>
  </HeadingPairs>
  <TitlesOfParts>
    <vt:vector size="9" baseType="lpstr">
      <vt:lpstr>PLANILHA</vt:lpstr>
      <vt:lpstr>BDI</vt:lpstr>
      <vt:lpstr>MEMORIA</vt:lpstr>
      <vt:lpstr>CRONOGRAMA</vt:lpstr>
      <vt:lpstr>QCI</vt:lpstr>
      <vt:lpstr>CRONOGRAMA!Area_de_impressao</vt:lpstr>
      <vt:lpstr>MEMORIA!Area_de_impressao</vt:lpstr>
      <vt:lpstr>PLANILHA!Area_de_impressao</vt:lpstr>
      <vt:lpstr>QCI!Area_de_impressao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GEPAD</dc:creator>
  <cp:lastModifiedBy>CAE9</cp:lastModifiedBy>
  <cp:lastPrinted>2020-06-09T12:36:10Z</cp:lastPrinted>
  <dcterms:created xsi:type="dcterms:W3CDTF">2018-09-12T17:10:17Z</dcterms:created>
  <dcterms:modified xsi:type="dcterms:W3CDTF">2020-07-21T12:09:46Z</dcterms:modified>
</cp:coreProperties>
</file>